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4"/>
  <workbookPr hidePivotFieldList="1"/>
  <mc:AlternateContent xmlns:mc="http://schemas.openxmlformats.org/markup-compatibility/2006">
    <mc:Choice Requires="x15">
      <x15ac:absPath xmlns:x15ac="http://schemas.microsoft.com/office/spreadsheetml/2010/11/ac" url="/Users/ilmafadhil/Downloads/"/>
    </mc:Choice>
  </mc:AlternateContent>
  <xr:revisionPtr revIDLastSave="0" documentId="13_ncr:1_{C5A67DB8-D365-4C4A-8D8B-A950BF327171}" xr6:coauthVersionLast="47" xr6:coauthVersionMax="47" xr10:uidLastSave="{00000000-0000-0000-0000-000000000000}"/>
  <workbookProtection workbookAlgorithmName="SHA-512" workbookHashValue="v1/lPVVJc0Eguy4kbIEJeFhbbMkciPZH3JupIpGCJVgxIS1FoNX3B40dL85fX74uN10xqtbAJNEWNgtslMj2ug==" workbookSaltValue="2/ykHBI+9tP9G0wrK6xAYw==" workbookSpinCount="100000" lockStructure="1"/>
  <bookViews>
    <workbookView xWindow="0" yWindow="500" windowWidth="28780" windowHeight="16100" firstSheet="4" activeTab="12" xr2:uid="{24965644-B29E-AA4B-994F-B1B74B379FCF}"/>
  </bookViews>
  <sheets>
    <sheet name="Note" sheetId="26" r:id="rId1"/>
    <sheet name="Summary" sheetId="25" r:id="rId2"/>
    <sheet name="Global sales" sheetId="24" r:id="rId3"/>
    <sheet name="ZEV market share" sheetId="33" r:id="rId4"/>
    <sheet name="Class coverage" sheetId="34" r:id="rId5"/>
    <sheet name="Energy consumption" sheetId="35" r:id="rId6"/>
    <sheet name="Charging speed" sheetId="36" r:id="rId7"/>
    <sheet name="Driving range" sheetId="37" r:id="rId8"/>
    <sheet name="Renewable energy" sheetId="7" r:id="rId9"/>
    <sheet name="Battery recycling" sheetId="11" r:id="rId10"/>
    <sheet name="ZEV target" sheetId="14" r:id="rId11"/>
    <sheet name="ZEV investment" sheetId="17" r:id="rId12"/>
    <sheet name="Executive compensation" sheetId="20" r:id="rId13"/>
  </sheets>
  <externalReferences>
    <externalReference r:id="rId14"/>
  </externalReferences>
  <definedNames>
    <definedName name="_xlnm._FilterDatabase" localSheetId="9" hidden="1">'Battery recycling'!$B$2:$K$2</definedName>
    <definedName name="_xlnm._FilterDatabase" localSheetId="12" hidden="1">'Executive compensation'!#REF!</definedName>
    <definedName name="_xlnm._FilterDatabase" localSheetId="2" hidden="1">'Global sales'!$X$3:$AE$3</definedName>
    <definedName name="_xlnm._FilterDatabase" localSheetId="8" hidden="1">'Renewable energy'!#REF!</definedName>
    <definedName name="_xlnm._FilterDatabase" localSheetId="1" hidden="1">Summary!$M$60:$AB$60</definedName>
    <definedName name="_xlnm._FilterDatabase" localSheetId="11" hidden="1">'ZEV investment'!$B$2:$K$2</definedName>
    <definedName name="ab" localSheetId="12">#REF!</definedName>
    <definedName name="ab">#REF!</definedName>
    <definedName name="regs">[1]i28_data!$A:$E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2" i="24" l="1"/>
  <c r="K51" i="24"/>
  <c r="K50" i="24"/>
  <c r="K49" i="24"/>
  <c r="P12" i="7" s="1"/>
  <c r="K48" i="24"/>
  <c r="K47" i="24"/>
  <c r="P17" i="7"/>
  <c r="P32" i="7"/>
  <c r="P33" i="7"/>
  <c r="P34" i="7"/>
  <c r="P35" i="7"/>
  <c r="P36" i="7"/>
  <c r="P37" i="7"/>
  <c r="M33" i="7"/>
  <c r="M34" i="7"/>
  <c r="M35" i="7"/>
  <c r="M36" i="7"/>
  <c r="M37" i="7"/>
  <c r="M32" i="7"/>
  <c r="P11" i="7" l="1"/>
  <c r="M12" i="7" l="1"/>
  <c r="P14" i="7"/>
  <c r="K3" i="11" l="1"/>
  <c r="K4" i="11"/>
  <c r="K5" i="11"/>
  <c r="K6" i="11"/>
  <c r="K7" i="11"/>
  <c r="K8" i="11"/>
  <c r="K9" i="11"/>
  <c r="K10" i="11"/>
  <c r="K11" i="11"/>
  <c r="K12" i="11"/>
  <c r="K13" i="11"/>
  <c r="K14" i="11"/>
  <c r="K15" i="11"/>
  <c r="K16" i="11"/>
  <c r="K17" i="11"/>
  <c r="K18" i="11"/>
  <c r="K19" i="11"/>
  <c r="K20" i="11"/>
  <c r="K21" i="11"/>
  <c r="K22" i="11"/>
  <c r="K23" i="11"/>
  <c r="K24" i="11"/>
  <c r="K25" i="11"/>
  <c r="K26" i="11"/>
  <c r="K27" i="11"/>
  <c r="K28" i="11"/>
  <c r="J3" i="11"/>
  <c r="M11" i="7"/>
  <c r="M5" i="7"/>
  <c r="P5" i="7" s="1"/>
  <c r="M14" i="7"/>
  <c r="M4" i="7"/>
  <c r="P4" i="7" s="1"/>
  <c r="M8" i="7" l="1"/>
  <c r="P8" i="7" s="1"/>
  <c r="M9" i="7"/>
  <c r="P9" i="7" s="1"/>
  <c r="M17" i="7"/>
  <c r="M19" i="7"/>
  <c r="P19" i="7" s="1"/>
  <c r="M20" i="7"/>
  <c r="P20" i="7" s="1"/>
  <c r="M22" i="7"/>
  <c r="P22" i="7" s="1"/>
  <c r="M23" i="7"/>
  <c r="P23" i="7" s="1"/>
  <c r="M24" i="7"/>
  <c r="P24" i="7" s="1"/>
  <c r="M25" i="7"/>
  <c r="P25" i="7" s="1"/>
  <c r="M26" i="7"/>
  <c r="P26" i="7" s="1"/>
  <c r="M27" i="7"/>
  <c r="P27" i="7" s="1"/>
  <c r="M28" i="7"/>
  <c r="P28" i="7" s="1"/>
  <c r="M29" i="7"/>
  <c r="P29" i="7" s="1"/>
  <c r="M30" i="7"/>
  <c r="P30" i="7" s="1"/>
  <c r="M31" i="7"/>
  <c r="P31" i="7" s="1"/>
  <c r="C9" i="20" l="1"/>
  <c r="C10" i="20"/>
  <c r="C6" i="20"/>
  <c r="C11" i="20"/>
  <c r="E7" i="20"/>
  <c r="D7" i="20"/>
  <c r="C7" i="20"/>
  <c r="C8" i="20"/>
  <c r="C5" i="17"/>
  <c r="I4" i="14"/>
  <c r="L7" i="14"/>
  <c r="L19" i="14"/>
  <c r="L38" i="14"/>
  <c r="I5" i="14"/>
  <c r="J5" i="14" s="1"/>
  <c r="L5" i="14" s="1"/>
  <c r="I6" i="14"/>
  <c r="J6" i="14" s="1"/>
  <c r="L6" i="14" s="1"/>
  <c r="I8" i="14"/>
  <c r="J8" i="14" s="1"/>
  <c r="L8" i="14" s="1"/>
  <c r="I9" i="14"/>
  <c r="J9" i="14" s="1"/>
  <c r="L9" i="14" s="1"/>
  <c r="I10" i="14"/>
  <c r="J10" i="14" s="1"/>
  <c r="L10" i="14" s="1"/>
  <c r="I12" i="14"/>
  <c r="J12" i="14" s="1"/>
  <c r="L12" i="14" s="1"/>
  <c r="I13" i="14"/>
  <c r="J13" i="14" s="1"/>
  <c r="L13" i="14" s="1"/>
  <c r="I14" i="14"/>
  <c r="J14" i="14" s="1"/>
  <c r="L14" i="14" s="1"/>
  <c r="I15" i="14"/>
  <c r="J15" i="14" s="1"/>
  <c r="L15" i="14" s="1"/>
  <c r="I16" i="14"/>
  <c r="J16" i="14" s="1"/>
  <c r="L16" i="14" s="1"/>
  <c r="I17" i="14"/>
  <c r="J17" i="14" s="1"/>
  <c r="L17" i="14" s="1"/>
  <c r="I18" i="14"/>
  <c r="J18" i="14" s="1"/>
  <c r="L18" i="14" s="1"/>
  <c r="I20" i="14"/>
  <c r="J20" i="14" s="1"/>
  <c r="L20" i="14" s="1"/>
  <c r="I21" i="14"/>
  <c r="J21" i="14" s="1"/>
  <c r="L21" i="14" s="1"/>
  <c r="I22" i="14"/>
  <c r="J22" i="14" s="1"/>
  <c r="L22" i="14" s="1"/>
  <c r="I23" i="14"/>
  <c r="J23" i="14" s="1"/>
  <c r="L23" i="14" s="1"/>
  <c r="I24" i="14"/>
  <c r="J24" i="14" s="1"/>
  <c r="L24" i="14" s="1"/>
  <c r="I25" i="14"/>
  <c r="J25" i="14" s="1"/>
  <c r="L25" i="14" s="1"/>
  <c r="I30" i="14"/>
  <c r="J30" i="14" s="1"/>
  <c r="L30" i="14" s="1"/>
  <c r="I31" i="14"/>
  <c r="I32" i="14"/>
  <c r="J32" i="14" s="1"/>
  <c r="L32" i="14" s="1"/>
  <c r="I33" i="14"/>
  <c r="J33" i="14" s="1"/>
  <c r="L33" i="14" s="1"/>
  <c r="I34" i="14"/>
  <c r="J34" i="14" s="1"/>
  <c r="L34" i="14" s="1"/>
  <c r="I35" i="14"/>
  <c r="J35" i="14" s="1"/>
  <c r="L35" i="14" s="1"/>
  <c r="I37" i="14"/>
  <c r="J37" i="14" s="1"/>
  <c r="L37" i="14" s="1"/>
  <c r="E9" i="20"/>
  <c r="J13" i="20"/>
  <c r="J12" i="20"/>
  <c r="L90" i="25"/>
  <c r="K20" i="20"/>
  <c r="D9" i="20"/>
  <c r="I9" i="20" s="1"/>
  <c r="I14" i="17" l="1"/>
  <c r="J14" i="17"/>
  <c r="I22" i="17"/>
  <c r="J22" i="17"/>
  <c r="I13" i="17"/>
  <c r="J13" i="17"/>
  <c r="I6" i="17"/>
  <c r="J6" i="17"/>
  <c r="I5" i="17"/>
  <c r="J5" i="17"/>
  <c r="I8" i="17"/>
  <c r="J8" i="17"/>
  <c r="I3" i="17"/>
  <c r="J3" i="17"/>
  <c r="I4" i="17"/>
  <c r="J4" i="17"/>
  <c r="I21" i="17"/>
  <c r="J21" i="17"/>
  <c r="I7" i="17"/>
  <c r="J7" i="17"/>
  <c r="I18" i="17"/>
  <c r="J18" i="17"/>
  <c r="I12" i="17"/>
  <c r="J12" i="17"/>
  <c r="I19" i="17"/>
  <c r="J19" i="17"/>
  <c r="J20" i="17"/>
  <c r="I20" i="17"/>
  <c r="B4" i="25" l="1"/>
  <c r="E58" i="25" l="1"/>
  <c r="G58" i="25"/>
  <c r="F58" i="25"/>
  <c r="H74" i="25"/>
  <c r="H75" i="25"/>
  <c r="H76" i="25"/>
  <c r="H77" i="25"/>
  <c r="H79" i="25"/>
  <c r="H78" i="25"/>
  <c r="H80" i="25"/>
  <c r="H81" i="25"/>
  <c r="H83" i="25"/>
  <c r="H85" i="25"/>
  <c r="H84" i="25"/>
  <c r="H82" i="25"/>
  <c r="H86" i="25"/>
  <c r="H87" i="25"/>
  <c r="H88" i="25"/>
  <c r="H89" i="25"/>
  <c r="H90" i="25"/>
  <c r="H91" i="25"/>
  <c r="H92" i="25"/>
  <c r="H73" i="25"/>
  <c r="H59" i="25" l="1"/>
  <c r="H66" i="25"/>
  <c r="K4" i="25" s="1"/>
  <c r="H58" i="25"/>
  <c r="K23" i="25" s="1"/>
  <c r="H65" i="25"/>
  <c r="K5" i="25" s="1"/>
  <c r="H57" i="25"/>
  <c r="K20" i="25" s="1"/>
  <c r="H64" i="25"/>
  <c r="K17" i="25" s="1"/>
  <c r="H55" i="25"/>
  <c r="K15" i="25" s="1"/>
  <c r="H63" i="25"/>
  <c r="K10" i="25" s="1"/>
  <c r="H56" i="25"/>
  <c r="K12" i="25" s="1"/>
  <c r="H50" i="25"/>
  <c r="K18" i="25" s="1"/>
  <c r="K9" i="25"/>
  <c r="H61" i="25"/>
  <c r="K11" i="25" s="1"/>
  <c r="H53" i="25"/>
  <c r="K8" i="25" s="1"/>
  <c r="H54" i="25"/>
  <c r="K19" i="25" s="1"/>
  <c r="H68" i="25"/>
  <c r="K14" i="25" s="1"/>
  <c r="H52" i="25"/>
  <c r="K16" i="25" s="1"/>
  <c r="H69" i="25"/>
  <c r="K22" i="25" s="1"/>
  <c r="H62" i="25"/>
  <c r="K13" i="25" s="1"/>
  <c r="H67" i="25"/>
  <c r="K21" i="25" s="1"/>
  <c r="H60" i="25"/>
  <c r="K6" i="25" s="1"/>
  <c r="H51" i="25"/>
  <c r="K7" i="25" s="1"/>
  <c r="C47" i="14" l="1" a="1"/>
  <c r="C47" i="14" s="1"/>
  <c r="C48" i="14" a="1"/>
  <c r="C48" i="14" s="1"/>
  <c r="I11" i="14" s="1"/>
  <c r="C49" i="14" a="1"/>
  <c r="C49" i="14" s="1"/>
  <c r="I36" i="14" s="1"/>
  <c r="C50" i="14" a="1"/>
  <c r="C50" i="14" s="1"/>
  <c r="I26" i="14" s="1"/>
  <c r="C51" i="14" a="1"/>
  <c r="C51" i="14" s="1"/>
  <c r="I29" i="14" s="1"/>
  <c r="J29" i="14" s="1"/>
  <c r="L29" i="14" s="1"/>
  <c r="C46" i="14" a="1"/>
  <c r="C46" i="14" s="1"/>
  <c r="D20" i="17" a="1"/>
  <c r="D20" i="17" s="1"/>
  <c r="D15" i="17" a="1"/>
  <c r="D15" i="17" s="1"/>
  <c r="D10" i="17" a="1"/>
  <c r="D10" i="17" s="1"/>
  <c r="D19" i="17" a="1"/>
  <c r="D19" i="17" s="1"/>
  <c r="D14" i="17" a="1"/>
  <c r="D14" i="17" s="1"/>
  <c r="D9" i="17" a="1"/>
  <c r="D9" i="17" s="1"/>
  <c r="D22" i="17" a="1"/>
  <c r="D22" i="17" s="1"/>
  <c r="D13" i="17" a="1"/>
  <c r="D13" i="17" s="1"/>
  <c r="D17" i="17" a="1"/>
  <c r="D17" i="17" s="1"/>
  <c r="D11" i="17" a="1"/>
  <c r="D11" i="17" s="1"/>
  <c r="D6" i="17" a="1"/>
  <c r="D6" i="17" s="1"/>
  <c r="D5" i="17" a="1"/>
  <c r="D5" i="17" s="1"/>
  <c r="E5" i="17" s="1"/>
  <c r="D8" i="17" a="1"/>
  <c r="D8" i="17" s="1"/>
  <c r="D3" i="17" a="1"/>
  <c r="D3" i="17" s="1"/>
  <c r="D4" i="17" a="1"/>
  <c r="D4" i="17" s="1"/>
  <c r="D21" i="17" a="1"/>
  <c r="D21" i="17" s="1"/>
  <c r="D16" i="17" a="1"/>
  <c r="D16" i="17" s="1"/>
  <c r="D7" i="17" a="1"/>
  <c r="D7" i="17" s="1"/>
  <c r="D18" i="17" a="1"/>
  <c r="D18" i="17" s="1"/>
  <c r="D12" i="17" a="1"/>
  <c r="D12" i="17" s="1"/>
  <c r="G85" i="25"/>
  <c r="G84" i="25"/>
  <c r="G82" i="25"/>
  <c r="G86" i="25"/>
  <c r="G87" i="25"/>
  <c r="G88" i="25"/>
  <c r="G89" i="25"/>
  <c r="G90" i="25"/>
  <c r="G91" i="25"/>
  <c r="G92" i="25"/>
  <c r="G83" i="25"/>
  <c r="G74" i="25"/>
  <c r="G75" i="25"/>
  <c r="G76" i="25"/>
  <c r="G77" i="25"/>
  <c r="G79" i="25"/>
  <c r="G78" i="25"/>
  <c r="G80" i="25"/>
  <c r="G73" i="25"/>
  <c r="F85" i="25"/>
  <c r="F84" i="25"/>
  <c r="F82" i="25"/>
  <c r="F86" i="25"/>
  <c r="F87" i="25"/>
  <c r="F88" i="25"/>
  <c r="F89" i="25"/>
  <c r="F90" i="25"/>
  <c r="F91" i="25"/>
  <c r="F92" i="25"/>
  <c r="F83" i="25"/>
  <c r="F74" i="25"/>
  <c r="F75" i="25"/>
  <c r="F76" i="25"/>
  <c r="F77" i="25"/>
  <c r="F79" i="25"/>
  <c r="F78" i="25"/>
  <c r="F80" i="25"/>
  <c r="F73" i="25"/>
  <c r="E82" i="25"/>
  <c r="E86" i="25"/>
  <c r="E87" i="25"/>
  <c r="E88" i="25"/>
  <c r="E89" i="25"/>
  <c r="E90" i="25"/>
  <c r="E91" i="25"/>
  <c r="E92" i="25"/>
  <c r="E85" i="25"/>
  <c r="E84" i="25"/>
  <c r="E83" i="25"/>
  <c r="E75" i="25"/>
  <c r="E76" i="25"/>
  <c r="E77" i="25"/>
  <c r="E79" i="25"/>
  <c r="E78" i="25"/>
  <c r="E80" i="25"/>
  <c r="E74" i="25"/>
  <c r="E73" i="25"/>
  <c r="D89" i="25"/>
  <c r="D90" i="25"/>
  <c r="D91" i="25"/>
  <c r="D92" i="25"/>
  <c r="D86" i="25"/>
  <c r="D87" i="25"/>
  <c r="D88" i="25"/>
  <c r="D85" i="25"/>
  <c r="D84" i="25"/>
  <c r="D82" i="25"/>
  <c r="D83" i="25"/>
  <c r="D81" i="25"/>
  <c r="D79" i="25"/>
  <c r="D78" i="25"/>
  <c r="D80" i="25"/>
  <c r="D76" i="25"/>
  <c r="D77" i="25"/>
  <c r="D75" i="25"/>
  <c r="D74" i="25"/>
  <c r="D73" i="25"/>
  <c r="L22" i="34"/>
  <c r="L21" i="34"/>
  <c r="L20" i="34"/>
  <c r="L19" i="34"/>
  <c r="L18" i="34"/>
  <c r="L17" i="34"/>
  <c r="L16" i="34"/>
  <c r="L15" i="34"/>
  <c r="L14" i="34"/>
  <c r="L13" i="34"/>
  <c r="L12" i="34"/>
  <c r="L11" i="34"/>
  <c r="L10" i="34"/>
  <c r="L9" i="34"/>
  <c r="L8" i="34"/>
  <c r="L7" i="34"/>
  <c r="L6" i="34"/>
  <c r="L5" i="34"/>
  <c r="L4" i="34"/>
  <c r="C92" i="25"/>
  <c r="K22" i="20" s="1"/>
  <c r="C91" i="25"/>
  <c r="K21" i="20" s="1"/>
  <c r="C90" i="25"/>
  <c r="C89" i="25"/>
  <c r="K3" i="20" s="1"/>
  <c r="C88" i="25"/>
  <c r="K4" i="20" s="1"/>
  <c r="C87" i="25"/>
  <c r="K19" i="20" s="1"/>
  <c r="C86" i="25"/>
  <c r="K8" i="20" s="1"/>
  <c r="C82" i="25"/>
  <c r="K17" i="20" s="1"/>
  <c r="C84" i="25"/>
  <c r="K10" i="20" s="1"/>
  <c r="C85" i="25"/>
  <c r="K18" i="20" s="1"/>
  <c r="C83" i="25"/>
  <c r="K6" i="20" s="1"/>
  <c r="C81" i="25"/>
  <c r="K16" i="20" s="1"/>
  <c r="C80" i="25"/>
  <c r="K11" i="20" s="1"/>
  <c r="C78" i="25"/>
  <c r="K15" i="20" s="1"/>
  <c r="C79" i="25"/>
  <c r="K7" i="20" s="1"/>
  <c r="C77" i="25"/>
  <c r="K14" i="20" s="1"/>
  <c r="C76" i="25"/>
  <c r="K5" i="20" s="1"/>
  <c r="C75" i="25"/>
  <c r="K13" i="20" s="1"/>
  <c r="L13" i="20" s="1"/>
  <c r="C74" i="25"/>
  <c r="K9" i="20" s="1"/>
  <c r="C73" i="25"/>
  <c r="I27" i="14" l="1"/>
  <c r="I28" i="14"/>
  <c r="J28" i="14" s="1"/>
  <c r="L28" i="14" s="1"/>
  <c r="L75" i="25"/>
  <c r="K12" i="20"/>
  <c r="C67" i="25"/>
  <c r="E21" i="25" s="1"/>
  <c r="D52" i="25"/>
  <c r="F16" i="25" s="1"/>
  <c r="E52" i="25"/>
  <c r="H16" i="25" s="1"/>
  <c r="F54" i="25"/>
  <c r="I19" i="25" s="1"/>
  <c r="G57" i="25"/>
  <c r="J20" i="25" s="1"/>
  <c r="C60" i="25"/>
  <c r="E6" i="25" s="1"/>
  <c r="D67" i="25"/>
  <c r="F21" i="25" s="1"/>
  <c r="E53" i="25"/>
  <c r="H8" i="25" s="1"/>
  <c r="E66" i="25"/>
  <c r="H4" i="25" s="1"/>
  <c r="F56" i="25"/>
  <c r="I12" i="25" s="1"/>
  <c r="F67" i="25"/>
  <c r="I21" i="25" s="1"/>
  <c r="G50" i="25"/>
  <c r="J18" i="25" s="1"/>
  <c r="G60" i="25"/>
  <c r="J6" i="25" s="1"/>
  <c r="G59" i="25"/>
  <c r="J9" i="25" s="1"/>
  <c r="E65" i="25"/>
  <c r="H5" i="25" s="1"/>
  <c r="F66" i="25"/>
  <c r="I4" i="25" s="1"/>
  <c r="G69" i="25"/>
  <c r="J22" i="25" s="1"/>
  <c r="G61" i="25"/>
  <c r="J11" i="25" s="1"/>
  <c r="D66" i="25"/>
  <c r="F4" i="25" s="1"/>
  <c r="C61" i="25"/>
  <c r="E11" i="25" s="1"/>
  <c r="C69" i="25"/>
  <c r="E22" i="25" s="1"/>
  <c r="D53" i="25"/>
  <c r="F8" i="25" s="1"/>
  <c r="D62" i="25"/>
  <c r="F13" i="25" s="1"/>
  <c r="E50" i="25"/>
  <c r="H18" i="25" s="1"/>
  <c r="E60" i="25"/>
  <c r="H6" i="25" s="1"/>
  <c r="E64" i="25"/>
  <c r="H17" i="25" s="1"/>
  <c r="F53" i="25"/>
  <c r="I8" i="25" s="1"/>
  <c r="F65" i="25"/>
  <c r="I5" i="25" s="1"/>
  <c r="G55" i="25"/>
  <c r="J15" i="25" s="1"/>
  <c r="G68" i="25"/>
  <c r="J14" i="25" s="1"/>
  <c r="G62" i="25"/>
  <c r="J13" i="25" s="1"/>
  <c r="C52" i="25"/>
  <c r="E16" i="25" s="1"/>
  <c r="C62" i="25"/>
  <c r="E13" i="25" s="1"/>
  <c r="C53" i="25"/>
  <c r="E8" i="25" s="1"/>
  <c r="C54" i="25"/>
  <c r="E19" i="25" s="1"/>
  <c r="C59" i="25"/>
  <c r="E9" i="25" s="1"/>
  <c r="D57" i="25"/>
  <c r="F20" i="25" s="1"/>
  <c r="D65" i="25"/>
  <c r="F5" i="25" s="1"/>
  <c r="E51" i="25"/>
  <c r="H7" i="25" s="1"/>
  <c r="E61" i="25"/>
  <c r="H11" i="25" s="1"/>
  <c r="E63" i="25"/>
  <c r="H10" i="25" s="1"/>
  <c r="F52" i="25"/>
  <c r="I16" i="25" s="1"/>
  <c r="F64" i="25"/>
  <c r="I17" i="25" s="1"/>
  <c r="G56" i="25"/>
  <c r="J12" i="25" s="1"/>
  <c r="G67" i="25"/>
  <c r="J21" i="25" s="1"/>
  <c r="D54" i="25"/>
  <c r="F19" i="25" s="1"/>
  <c r="C56" i="25"/>
  <c r="E12" i="25" s="1"/>
  <c r="C63" i="25"/>
  <c r="E10" i="25" s="1"/>
  <c r="D55" i="25"/>
  <c r="F15" i="25" s="1"/>
  <c r="D64" i="25"/>
  <c r="F17" i="25" s="1"/>
  <c r="E57" i="25"/>
  <c r="H20" i="25" s="1"/>
  <c r="E62" i="25"/>
  <c r="H13" i="25" s="1"/>
  <c r="E59" i="25"/>
  <c r="H9" i="25" s="1"/>
  <c r="F51" i="25"/>
  <c r="I7" i="25" s="1"/>
  <c r="F63" i="25"/>
  <c r="I10" i="25" s="1"/>
  <c r="G54" i="25"/>
  <c r="J19" i="25" s="1"/>
  <c r="G66" i="25"/>
  <c r="J4" i="25" s="1"/>
  <c r="D61" i="25"/>
  <c r="F11" i="25" s="1"/>
  <c r="C55" i="25"/>
  <c r="E15" i="25" s="1"/>
  <c r="C64" i="25"/>
  <c r="E17" i="25" s="1"/>
  <c r="D56" i="25"/>
  <c r="F12" i="25" s="1"/>
  <c r="D63" i="25"/>
  <c r="F10" i="25" s="1"/>
  <c r="E55" i="25"/>
  <c r="H15" i="25" s="1"/>
  <c r="E69" i="25"/>
  <c r="H22" i="25" s="1"/>
  <c r="F50" i="25"/>
  <c r="I18" i="25" s="1"/>
  <c r="F60" i="25"/>
  <c r="I6" i="25" s="1"/>
  <c r="F59" i="25"/>
  <c r="I9" i="25" s="1"/>
  <c r="G53" i="25"/>
  <c r="J8" i="25" s="1"/>
  <c r="G65" i="25"/>
  <c r="J5" i="25" s="1"/>
  <c r="C51" i="25"/>
  <c r="E7" i="25" s="1"/>
  <c r="C57" i="25"/>
  <c r="E20" i="25" s="1"/>
  <c r="C65" i="25"/>
  <c r="E5" i="25" s="1"/>
  <c r="D50" i="25"/>
  <c r="F18" i="25" s="1"/>
  <c r="D58" i="25"/>
  <c r="F23" i="25" s="1"/>
  <c r="D69" i="25"/>
  <c r="F22" i="25" s="1"/>
  <c r="E56" i="25"/>
  <c r="H12" i="25" s="1"/>
  <c r="E68" i="25"/>
  <c r="H14" i="25" s="1"/>
  <c r="F57" i="25"/>
  <c r="I20" i="25" s="1"/>
  <c r="F69" i="25"/>
  <c r="I22" i="25" s="1"/>
  <c r="F61" i="25"/>
  <c r="I11" i="25" s="1"/>
  <c r="G52" i="25"/>
  <c r="J16" i="25" s="1"/>
  <c r="G64" i="25"/>
  <c r="J17" i="25" s="1"/>
  <c r="D59" i="25"/>
  <c r="F9" i="25" s="1"/>
  <c r="C68" i="25"/>
  <c r="E14" i="25" s="1"/>
  <c r="C50" i="25"/>
  <c r="E18" i="25" s="1"/>
  <c r="C58" i="25"/>
  <c r="E23" i="25" s="1"/>
  <c r="C66" i="25"/>
  <c r="E4" i="25" s="1"/>
  <c r="D51" i="25"/>
  <c r="F7" i="25" s="1"/>
  <c r="D60" i="25"/>
  <c r="F6" i="25" s="1"/>
  <c r="D68" i="25"/>
  <c r="F14" i="25" s="1"/>
  <c r="E54" i="25"/>
  <c r="H19" i="25" s="1"/>
  <c r="E67" i="25"/>
  <c r="H21" i="25" s="1"/>
  <c r="F55" i="25"/>
  <c r="I15" i="25" s="1"/>
  <c r="F68" i="25"/>
  <c r="I14" i="25" s="1"/>
  <c r="F62" i="25"/>
  <c r="I13" i="25" s="1"/>
  <c r="G51" i="25"/>
  <c r="J7" i="25" s="1"/>
  <c r="G63" i="25"/>
  <c r="J10" i="25" s="1"/>
  <c r="L12" i="20" l="1"/>
  <c r="L73" i="25" s="1"/>
  <c r="C27" i="25"/>
  <c r="G18" i="25" s="1"/>
  <c r="L28" i="24"/>
  <c r="Q59" i="24"/>
  <c r="R59" i="24"/>
  <c r="S59" i="24"/>
  <c r="T59" i="24"/>
  <c r="U59" i="24"/>
  <c r="V59" i="24"/>
  <c r="Q60" i="24"/>
  <c r="R60" i="24"/>
  <c r="S60" i="24"/>
  <c r="T60" i="24"/>
  <c r="U60" i="24"/>
  <c r="V60" i="24"/>
  <c r="Q61" i="24"/>
  <c r="R61" i="24"/>
  <c r="S61" i="24"/>
  <c r="T61" i="24"/>
  <c r="U61" i="24"/>
  <c r="V61" i="24"/>
  <c r="Q62" i="24"/>
  <c r="R62" i="24"/>
  <c r="S62" i="24"/>
  <c r="T62" i="24"/>
  <c r="U62" i="24"/>
  <c r="V62" i="24"/>
  <c r="Q63" i="24"/>
  <c r="R63" i="24"/>
  <c r="S63" i="24"/>
  <c r="T63" i="24"/>
  <c r="U63" i="24"/>
  <c r="V63" i="24"/>
  <c r="Q64" i="24"/>
  <c r="R64" i="24"/>
  <c r="S64" i="24"/>
  <c r="T64" i="24"/>
  <c r="U64" i="24"/>
  <c r="V64" i="24"/>
  <c r="Q65" i="24"/>
  <c r="R65" i="24"/>
  <c r="S65" i="24"/>
  <c r="T65" i="24"/>
  <c r="U65" i="24"/>
  <c r="V65" i="24"/>
  <c r="Q66" i="24"/>
  <c r="R66" i="24"/>
  <c r="S66" i="24"/>
  <c r="T66" i="24"/>
  <c r="U66" i="24"/>
  <c r="V66" i="24"/>
  <c r="Q67" i="24"/>
  <c r="R67" i="24"/>
  <c r="S67" i="24"/>
  <c r="T67" i="24"/>
  <c r="U67" i="24"/>
  <c r="V67" i="24"/>
  <c r="Q68" i="24"/>
  <c r="R68" i="24"/>
  <c r="S68" i="24"/>
  <c r="T68" i="24"/>
  <c r="U68" i="24"/>
  <c r="V68" i="24"/>
  <c r="Q69" i="24"/>
  <c r="R69" i="24"/>
  <c r="S69" i="24"/>
  <c r="T69" i="24"/>
  <c r="U69" i="24"/>
  <c r="V69" i="24"/>
  <c r="Q70" i="24"/>
  <c r="R70" i="24"/>
  <c r="S70" i="24"/>
  <c r="T70" i="24"/>
  <c r="U70" i="24"/>
  <c r="V70" i="24"/>
  <c r="Q71" i="24"/>
  <c r="R71" i="24"/>
  <c r="S71" i="24"/>
  <c r="T71" i="24"/>
  <c r="U71" i="24"/>
  <c r="V71" i="24"/>
  <c r="Q72" i="24"/>
  <c r="R72" i="24"/>
  <c r="S72" i="24"/>
  <c r="T72" i="24"/>
  <c r="U72" i="24"/>
  <c r="V72" i="24"/>
  <c r="Q73" i="24"/>
  <c r="R73" i="24"/>
  <c r="S73" i="24"/>
  <c r="T73" i="24"/>
  <c r="U73" i="24"/>
  <c r="V73" i="24"/>
  <c r="Q74" i="24"/>
  <c r="R74" i="24"/>
  <c r="S74" i="24"/>
  <c r="T74" i="24"/>
  <c r="U74" i="24"/>
  <c r="V74" i="24"/>
  <c r="Q75" i="24"/>
  <c r="R75" i="24"/>
  <c r="S75" i="24"/>
  <c r="T75" i="24"/>
  <c r="U75" i="24"/>
  <c r="V75" i="24"/>
  <c r="Q76" i="24"/>
  <c r="R76" i="24"/>
  <c r="S76" i="24"/>
  <c r="T76" i="24"/>
  <c r="U76" i="24"/>
  <c r="V76" i="24"/>
  <c r="Q77" i="24"/>
  <c r="R77" i="24"/>
  <c r="S77" i="24"/>
  <c r="T77" i="24"/>
  <c r="U77" i="24"/>
  <c r="V77" i="24"/>
  <c r="Q78" i="24"/>
  <c r="R78" i="24"/>
  <c r="S78" i="24"/>
  <c r="T78" i="24"/>
  <c r="U78" i="24"/>
  <c r="V78" i="24"/>
  <c r="Q79" i="24"/>
  <c r="R79" i="24"/>
  <c r="S79" i="24"/>
  <c r="T79" i="24"/>
  <c r="U79" i="24"/>
  <c r="V79" i="24"/>
  <c r="Q80" i="24"/>
  <c r="R80" i="24"/>
  <c r="S80" i="24"/>
  <c r="T80" i="24"/>
  <c r="U80" i="24"/>
  <c r="V80" i="24"/>
  <c r="Q81" i="24"/>
  <c r="R81" i="24"/>
  <c r="S81" i="24"/>
  <c r="T81" i="24"/>
  <c r="U81" i="24"/>
  <c r="V81" i="24"/>
  <c r="Q82" i="24"/>
  <c r="R82" i="24"/>
  <c r="S82" i="24"/>
  <c r="T82" i="24"/>
  <c r="U82" i="24"/>
  <c r="V82" i="24"/>
  <c r="Q83" i="24"/>
  <c r="R83" i="24"/>
  <c r="S83" i="24"/>
  <c r="T83" i="24"/>
  <c r="U83" i="24"/>
  <c r="V83" i="24"/>
  <c r="Q84" i="24"/>
  <c r="R84" i="24"/>
  <c r="S84" i="24"/>
  <c r="T84" i="24"/>
  <c r="U84" i="24"/>
  <c r="V84" i="24"/>
  <c r="Q85" i="24"/>
  <c r="R85" i="24"/>
  <c r="S85" i="24"/>
  <c r="T85" i="24"/>
  <c r="U85" i="24"/>
  <c r="V85" i="24"/>
  <c r="Q86" i="24"/>
  <c r="R86" i="24"/>
  <c r="S86" i="24"/>
  <c r="T86" i="24"/>
  <c r="U86" i="24"/>
  <c r="V86" i="24"/>
  <c r="Q87" i="24"/>
  <c r="R87" i="24"/>
  <c r="S87" i="24"/>
  <c r="T87" i="24"/>
  <c r="U87" i="24"/>
  <c r="V87" i="24"/>
  <c r="Q88" i="24"/>
  <c r="R88" i="24"/>
  <c r="S88" i="24"/>
  <c r="T88" i="24"/>
  <c r="U88" i="24"/>
  <c r="V88" i="24"/>
  <c r="Q89" i="24"/>
  <c r="R89" i="24"/>
  <c r="S89" i="24"/>
  <c r="T89" i="24"/>
  <c r="U89" i="24"/>
  <c r="V89" i="24"/>
  <c r="Q90" i="24"/>
  <c r="R90" i="24"/>
  <c r="S90" i="24"/>
  <c r="T90" i="24"/>
  <c r="U90" i="24"/>
  <c r="V90" i="24"/>
  <c r="Q91" i="24"/>
  <c r="R91" i="24"/>
  <c r="S91" i="24"/>
  <c r="T91" i="24"/>
  <c r="U91" i="24"/>
  <c r="V91" i="24"/>
  <c r="Q92" i="24"/>
  <c r="R92" i="24"/>
  <c r="S92" i="24"/>
  <c r="T92" i="24"/>
  <c r="U92" i="24"/>
  <c r="V92" i="24"/>
  <c r="Q93" i="24"/>
  <c r="R93" i="24"/>
  <c r="S93" i="24"/>
  <c r="T93" i="24"/>
  <c r="U93" i="24"/>
  <c r="V93" i="24"/>
  <c r="Q94" i="24"/>
  <c r="R94" i="24"/>
  <c r="S94" i="24"/>
  <c r="T94" i="24"/>
  <c r="U94" i="24"/>
  <c r="V94" i="24"/>
  <c r="Q95" i="24"/>
  <c r="R95" i="24"/>
  <c r="S95" i="24"/>
  <c r="T95" i="24"/>
  <c r="U95" i="24"/>
  <c r="V95" i="24"/>
  <c r="Q96" i="24"/>
  <c r="R96" i="24"/>
  <c r="S96" i="24"/>
  <c r="T96" i="24"/>
  <c r="U96" i="24"/>
  <c r="V96" i="24"/>
  <c r="Q97" i="24"/>
  <c r="R97" i="24"/>
  <c r="S97" i="24"/>
  <c r="T97" i="24"/>
  <c r="U97" i="24"/>
  <c r="V97" i="24"/>
  <c r="Q98" i="24"/>
  <c r="R98" i="24"/>
  <c r="S98" i="24"/>
  <c r="T98" i="24"/>
  <c r="U98" i="24"/>
  <c r="V98" i="24"/>
  <c r="Q99" i="24"/>
  <c r="R99" i="24"/>
  <c r="S99" i="24"/>
  <c r="T99" i="24"/>
  <c r="U99" i="24"/>
  <c r="V99" i="24"/>
  <c r="Q100" i="24"/>
  <c r="R100" i="24"/>
  <c r="S100" i="24"/>
  <c r="T100" i="24"/>
  <c r="U100" i="24"/>
  <c r="V100" i="24"/>
  <c r="Q101" i="24"/>
  <c r="R101" i="24"/>
  <c r="S101" i="24"/>
  <c r="T101" i="24"/>
  <c r="U101" i="24"/>
  <c r="V101" i="24"/>
  <c r="Q102" i="24"/>
  <c r="R102" i="24"/>
  <c r="S102" i="24"/>
  <c r="T102" i="24"/>
  <c r="U102" i="24"/>
  <c r="V102" i="24"/>
  <c r="Q103" i="24"/>
  <c r="R103" i="24"/>
  <c r="S103" i="24"/>
  <c r="T103" i="24"/>
  <c r="U103" i="24"/>
  <c r="V103" i="24"/>
  <c r="Q104" i="24"/>
  <c r="R104" i="24"/>
  <c r="S104" i="24"/>
  <c r="T104" i="24"/>
  <c r="U104" i="24"/>
  <c r="V104" i="24"/>
  <c r="Q105" i="24"/>
  <c r="R105" i="24"/>
  <c r="S105" i="24"/>
  <c r="T105" i="24"/>
  <c r="U105" i="24"/>
  <c r="V105" i="24"/>
  <c r="Q106" i="24"/>
  <c r="R106" i="24"/>
  <c r="S106" i="24"/>
  <c r="T106" i="24"/>
  <c r="U106" i="24"/>
  <c r="V106" i="24"/>
  <c r="Q107" i="24"/>
  <c r="R107" i="24"/>
  <c r="S107" i="24"/>
  <c r="T107" i="24"/>
  <c r="U107" i="24"/>
  <c r="V107" i="24"/>
  <c r="Q108" i="24"/>
  <c r="R108" i="24"/>
  <c r="S108" i="24"/>
  <c r="T108" i="24"/>
  <c r="U108" i="24"/>
  <c r="V108" i="24"/>
  <c r="Q109" i="24"/>
  <c r="R109" i="24"/>
  <c r="S109" i="24"/>
  <c r="T109" i="24"/>
  <c r="U109" i="24"/>
  <c r="V109" i="24"/>
  <c r="Q110" i="24"/>
  <c r="R110" i="24"/>
  <c r="S110" i="24"/>
  <c r="T110" i="24"/>
  <c r="U110" i="24"/>
  <c r="V110" i="24"/>
  <c r="Q111" i="24"/>
  <c r="R111" i="24"/>
  <c r="S111" i="24"/>
  <c r="T111" i="24"/>
  <c r="U111" i="24"/>
  <c r="V111" i="24"/>
  <c r="Q112" i="24"/>
  <c r="R112" i="24"/>
  <c r="S112" i="24"/>
  <c r="T112" i="24"/>
  <c r="U112" i="24"/>
  <c r="V112" i="24"/>
  <c r="Q113" i="24"/>
  <c r="R113" i="24"/>
  <c r="S113" i="24"/>
  <c r="T113" i="24"/>
  <c r="U113" i="24"/>
  <c r="V113" i="24"/>
  <c r="Q114" i="24"/>
  <c r="R114" i="24"/>
  <c r="S114" i="24"/>
  <c r="T114" i="24"/>
  <c r="U114" i="24"/>
  <c r="V114" i="24"/>
  <c r="Q115" i="24"/>
  <c r="R115" i="24"/>
  <c r="S115" i="24"/>
  <c r="T115" i="24"/>
  <c r="U115" i="24"/>
  <c r="V115" i="24"/>
  <c r="Q116" i="24"/>
  <c r="R116" i="24"/>
  <c r="S116" i="24"/>
  <c r="T116" i="24"/>
  <c r="U116" i="24"/>
  <c r="V116" i="24"/>
  <c r="Q117" i="24"/>
  <c r="R117" i="24"/>
  <c r="S117" i="24"/>
  <c r="T117" i="24"/>
  <c r="U117" i="24"/>
  <c r="V117" i="24"/>
  <c r="Q118" i="24"/>
  <c r="R118" i="24"/>
  <c r="S118" i="24"/>
  <c r="T118" i="24"/>
  <c r="U118" i="24"/>
  <c r="V118" i="24"/>
  <c r="Q119" i="24"/>
  <c r="R119" i="24"/>
  <c r="S119" i="24"/>
  <c r="T119" i="24"/>
  <c r="U119" i="24"/>
  <c r="V119" i="24"/>
  <c r="Q120" i="24"/>
  <c r="R120" i="24"/>
  <c r="S120" i="24"/>
  <c r="T120" i="24"/>
  <c r="U120" i="24"/>
  <c r="V120" i="24"/>
  <c r="Q121" i="24"/>
  <c r="R121" i="24"/>
  <c r="S121" i="24"/>
  <c r="T121" i="24"/>
  <c r="U121" i="24"/>
  <c r="V121" i="24"/>
  <c r="Q122" i="24"/>
  <c r="R122" i="24"/>
  <c r="S122" i="24"/>
  <c r="T122" i="24"/>
  <c r="U122" i="24"/>
  <c r="V122" i="24"/>
  <c r="Q123" i="24"/>
  <c r="R123" i="24"/>
  <c r="S123" i="24"/>
  <c r="T123" i="24"/>
  <c r="U123" i="24"/>
  <c r="V123" i="24"/>
  <c r="Q124" i="24"/>
  <c r="R124" i="24"/>
  <c r="S124" i="24"/>
  <c r="T124" i="24"/>
  <c r="U124" i="24"/>
  <c r="V124" i="24"/>
  <c r="Q125" i="24"/>
  <c r="R125" i="24"/>
  <c r="S125" i="24"/>
  <c r="T125" i="24"/>
  <c r="U125" i="24"/>
  <c r="V125" i="24"/>
  <c r="Q126" i="24"/>
  <c r="R126" i="24"/>
  <c r="S126" i="24"/>
  <c r="T126" i="24"/>
  <c r="U126" i="24"/>
  <c r="V126" i="24"/>
  <c r="Q127" i="24"/>
  <c r="R127" i="24"/>
  <c r="S127" i="24"/>
  <c r="U127" i="24"/>
  <c r="V127" i="24"/>
  <c r="Q128" i="24"/>
  <c r="R128" i="24"/>
  <c r="S128" i="24"/>
  <c r="T128" i="24"/>
  <c r="U128" i="24"/>
  <c r="V128" i="24"/>
  <c r="Q129" i="24"/>
  <c r="R129" i="24"/>
  <c r="S129" i="24"/>
  <c r="T129" i="24"/>
  <c r="U129" i="24"/>
  <c r="V129" i="24"/>
  <c r="Q130" i="24"/>
  <c r="R130" i="24"/>
  <c r="S130" i="24"/>
  <c r="T130" i="24"/>
  <c r="U130" i="24"/>
  <c r="V130" i="24"/>
  <c r="Q131" i="24"/>
  <c r="R131" i="24"/>
  <c r="S131" i="24"/>
  <c r="T131" i="24"/>
  <c r="U131" i="24"/>
  <c r="V131" i="24"/>
  <c r="Q132" i="24"/>
  <c r="R132" i="24"/>
  <c r="S132" i="24"/>
  <c r="T132" i="24"/>
  <c r="U132" i="24"/>
  <c r="V132" i="24"/>
  <c r="Q133" i="24"/>
  <c r="R133" i="24"/>
  <c r="S133" i="24"/>
  <c r="T133" i="24"/>
  <c r="U133" i="24"/>
  <c r="V133" i="24"/>
  <c r="Q134" i="24"/>
  <c r="R134" i="24"/>
  <c r="S134" i="24"/>
  <c r="T134" i="24"/>
  <c r="U134" i="24"/>
  <c r="V134" i="24"/>
  <c r="Q135" i="24"/>
  <c r="R135" i="24"/>
  <c r="S135" i="24"/>
  <c r="T135" i="24"/>
  <c r="U135" i="24"/>
  <c r="V135" i="24"/>
  <c r="Q136" i="24"/>
  <c r="R136" i="24"/>
  <c r="S136" i="24"/>
  <c r="T136" i="24"/>
  <c r="U136" i="24"/>
  <c r="V136" i="24"/>
  <c r="Q137" i="24"/>
  <c r="R137" i="24"/>
  <c r="S137" i="24"/>
  <c r="T137" i="24"/>
  <c r="U137" i="24"/>
  <c r="V137" i="24"/>
  <c r="Q138" i="24"/>
  <c r="R138" i="24"/>
  <c r="S138" i="24"/>
  <c r="T138" i="24"/>
  <c r="U138" i="24"/>
  <c r="V138" i="24"/>
  <c r="Q139" i="24"/>
  <c r="R139" i="24"/>
  <c r="S139" i="24"/>
  <c r="T139" i="24"/>
  <c r="U139" i="24"/>
  <c r="V139" i="24"/>
  <c r="Q140" i="24"/>
  <c r="R140" i="24"/>
  <c r="S140" i="24"/>
  <c r="T140" i="24"/>
  <c r="U140" i="24"/>
  <c r="V140" i="24"/>
  <c r="Q141" i="24"/>
  <c r="R141" i="24"/>
  <c r="S141" i="24"/>
  <c r="T141" i="24"/>
  <c r="U141" i="24"/>
  <c r="V141" i="24"/>
  <c r="Q142" i="24"/>
  <c r="R142" i="24"/>
  <c r="S142" i="24"/>
  <c r="T142" i="24"/>
  <c r="U142" i="24"/>
  <c r="V142" i="24"/>
  <c r="Q143" i="24"/>
  <c r="R143" i="24"/>
  <c r="S143" i="24"/>
  <c r="T143" i="24"/>
  <c r="U143" i="24"/>
  <c r="V143" i="24"/>
  <c r="Q144" i="24"/>
  <c r="R144" i="24"/>
  <c r="S144" i="24"/>
  <c r="T144" i="24"/>
  <c r="U144" i="24"/>
  <c r="V144" i="24"/>
  <c r="Q145" i="24"/>
  <c r="R145" i="24"/>
  <c r="S145" i="24"/>
  <c r="T145" i="24"/>
  <c r="U145" i="24"/>
  <c r="V145" i="24"/>
  <c r="Q146" i="24"/>
  <c r="R146" i="24"/>
  <c r="S146" i="24"/>
  <c r="T146" i="24"/>
  <c r="U146" i="24"/>
  <c r="V146" i="24"/>
  <c r="Q147" i="24"/>
  <c r="R147" i="24"/>
  <c r="S147" i="24"/>
  <c r="T147" i="24"/>
  <c r="U147" i="24"/>
  <c r="V147" i="24"/>
  <c r="Q148" i="24"/>
  <c r="R148" i="24"/>
  <c r="S148" i="24"/>
  <c r="T148" i="24"/>
  <c r="U148" i="24"/>
  <c r="V148" i="24"/>
  <c r="Q149" i="24"/>
  <c r="R149" i="24"/>
  <c r="S149" i="24"/>
  <c r="T149" i="24"/>
  <c r="U149" i="24"/>
  <c r="V149" i="24"/>
  <c r="Q150" i="24"/>
  <c r="R150" i="24"/>
  <c r="S150" i="24"/>
  <c r="T150" i="24"/>
  <c r="U150" i="24"/>
  <c r="V150" i="24"/>
  <c r="Q151" i="24"/>
  <c r="R151" i="24"/>
  <c r="S151" i="24"/>
  <c r="T151" i="24"/>
  <c r="U151" i="24"/>
  <c r="V151" i="24"/>
  <c r="Q152" i="24"/>
  <c r="R152" i="24"/>
  <c r="S152" i="24"/>
  <c r="T152" i="24"/>
  <c r="U152" i="24"/>
  <c r="V152" i="24"/>
  <c r="Q153" i="24"/>
  <c r="R153" i="24"/>
  <c r="S153" i="24"/>
  <c r="T153" i="24"/>
  <c r="U153" i="24"/>
  <c r="V153" i="24"/>
  <c r="Q154" i="24"/>
  <c r="R154" i="24"/>
  <c r="S154" i="24"/>
  <c r="T154" i="24"/>
  <c r="U154" i="24"/>
  <c r="V154" i="24"/>
  <c r="Q155" i="24"/>
  <c r="R155" i="24"/>
  <c r="S155" i="24"/>
  <c r="T155" i="24"/>
  <c r="U155" i="24"/>
  <c r="V155" i="24"/>
  <c r="Q156" i="24"/>
  <c r="R156" i="24"/>
  <c r="S156" i="24"/>
  <c r="T156" i="24"/>
  <c r="U156" i="24"/>
  <c r="V156" i="24"/>
  <c r="Q157" i="24"/>
  <c r="R157" i="24"/>
  <c r="S157" i="24"/>
  <c r="T157" i="24"/>
  <c r="U157" i="24"/>
  <c r="V157" i="24"/>
  <c r="Q158" i="24"/>
  <c r="R158" i="24"/>
  <c r="S158" i="24"/>
  <c r="T158" i="24"/>
  <c r="U158" i="24"/>
  <c r="V158" i="24"/>
  <c r="Q159" i="24"/>
  <c r="R159" i="24"/>
  <c r="S159" i="24"/>
  <c r="T159" i="24"/>
  <c r="U159" i="24"/>
  <c r="V159" i="24"/>
  <c r="Q160" i="24"/>
  <c r="R160" i="24"/>
  <c r="S160" i="24"/>
  <c r="T160" i="24"/>
  <c r="U160" i="24"/>
  <c r="V160" i="24"/>
  <c r="Q161" i="24"/>
  <c r="R161" i="24"/>
  <c r="S161" i="24"/>
  <c r="T161" i="24"/>
  <c r="U161" i="24"/>
  <c r="V161" i="24"/>
  <c r="Q162" i="24"/>
  <c r="R162" i="24"/>
  <c r="S162" i="24"/>
  <c r="T162" i="24"/>
  <c r="U162" i="24"/>
  <c r="V162" i="24"/>
  <c r="Q163" i="24"/>
  <c r="R163" i="24"/>
  <c r="S163" i="24"/>
  <c r="T163" i="24"/>
  <c r="U163" i="24"/>
  <c r="V163" i="24"/>
  <c r="Q164" i="24"/>
  <c r="R164" i="24"/>
  <c r="S164" i="24"/>
  <c r="T164" i="24"/>
  <c r="U164" i="24"/>
  <c r="V164" i="24"/>
  <c r="Q165" i="24"/>
  <c r="R165" i="24"/>
  <c r="S165" i="24"/>
  <c r="T165" i="24"/>
  <c r="U165" i="24"/>
  <c r="V165" i="24"/>
  <c r="Q166" i="24"/>
  <c r="R166" i="24"/>
  <c r="S166" i="24"/>
  <c r="T166" i="24"/>
  <c r="U166" i="24"/>
  <c r="V166" i="24"/>
  <c r="Q167" i="24"/>
  <c r="R167" i="24"/>
  <c r="S167" i="24"/>
  <c r="T167" i="24"/>
  <c r="U167" i="24"/>
  <c r="V167" i="24"/>
  <c r="Q168" i="24"/>
  <c r="R168" i="24"/>
  <c r="S168" i="24"/>
  <c r="T168" i="24"/>
  <c r="U168" i="24"/>
  <c r="V168" i="24"/>
  <c r="Q169" i="24"/>
  <c r="R169" i="24"/>
  <c r="S169" i="24"/>
  <c r="T169" i="24"/>
  <c r="U169" i="24"/>
  <c r="V169" i="24"/>
  <c r="Q170" i="24"/>
  <c r="R170" i="24"/>
  <c r="S170" i="24"/>
  <c r="T170" i="24"/>
  <c r="U170" i="24"/>
  <c r="V170" i="24"/>
  <c r="Q171" i="24"/>
  <c r="R171" i="24"/>
  <c r="S171" i="24"/>
  <c r="T171" i="24"/>
  <c r="U171" i="24"/>
  <c r="V171" i="24"/>
  <c r="Q172" i="24"/>
  <c r="R172" i="24"/>
  <c r="S172" i="24"/>
  <c r="T172" i="24"/>
  <c r="U172" i="24"/>
  <c r="V172" i="24"/>
  <c r="Q173" i="24"/>
  <c r="R173" i="24"/>
  <c r="S173" i="24"/>
  <c r="T173" i="24"/>
  <c r="U173" i="24"/>
  <c r="V173" i="24"/>
  <c r="Q174" i="24"/>
  <c r="R174" i="24"/>
  <c r="S174" i="24"/>
  <c r="T174" i="24"/>
  <c r="U174" i="24"/>
  <c r="V174" i="24"/>
  <c r="Q175" i="24"/>
  <c r="R175" i="24"/>
  <c r="S175" i="24"/>
  <c r="T175" i="24"/>
  <c r="U175" i="24"/>
  <c r="V175" i="24"/>
  <c r="Q176" i="24"/>
  <c r="R176" i="24"/>
  <c r="S176" i="24"/>
  <c r="T176" i="24"/>
  <c r="U176" i="24"/>
  <c r="V176" i="24"/>
  <c r="Q177" i="24"/>
  <c r="R177" i="24"/>
  <c r="S177" i="24"/>
  <c r="T177" i="24"/>
  <c r="U177" i="24"/>
  <c r="V177" i="24"/>
  <c r="Q178" i="24"/>
  <c r="R178" i="24"/>
  <c r="S178" i="24"/>
  <c r="T178" i="24"/>
  <c r="U178" i="24"/>
  <c r="V178" i="24"/>
  <c r="Q179" i="24"/>
  <c r="R179" i="24"/>
  <c r="S179" i="24"/>
  <c r="T179" i="24"/>
  <c r="U179" i="24"/>
  <c r="V179" i="24"/>
  <c r="Q180" i="24"/>
  <c r="R180" i="24"/>
  <c r="S180" i="24"/>
  <c r="T180" i="24"/>
  <c r="U180" i="24"/>
  <c r="V180" i="24"/>
  <c r="Q181" i="24"/>
  <c r="R181" i="24"/>
  <c r="S181" i="24"/>
  <c r="T181" i="24"/>
  <c r="U181" i="24"/>
  <c r="V181" i="24"/>
  <c r="Q182" i="24"/>
  <c r="R182" i="24"/>
  <c r="S182" i="24"/>
  <c r="T182" i="24"/>
  <c r="U182" i="24"/>
  <c r="V182" i="24"/>
  <c r="Q183" i="24"/>
  <c r="R183" i="24"/>
  <c r="S183" i="24"/>
  <c r="T183" i="24"/>
  <c r="U183" i="24"/>
  <c r="V183" i="24"/>
  <c r="Q184" i="24"/>
  <c r="R184" i="24"/>
  <c r="S184" i="24"/>
  <c r="T184" i="24"/>
  <c r="U184" i="24"/>
  <c r="V184" i="24"/>
  <c r="V58" i="24"/>
  <c r="R58" i="24"/>
  <c r="S58" i="24"/>
  <c r="T58" i="24"/>
  <c r="U58" i="24"/>
  <c r="Q58" i="24"/>
  <c r="P59" i="24"/>
  <c r="P60" i="24"/>
  <c r="P61" i="24"/>
  <c r="P62" i="24"/>
  <c r="P63" i="24"/>
  <c r="P64" i="24"/>
  <c r="P65" i="24"/>
  <c r="P66" i="24"/>
  <c r="P67" i="24"/>
  <c r="P68" i="24"/>
  <c r="P69" i="24"/>
  <c r="P70" i="24"/>
  <c r="P71" i="24"/>
  <c r="P72" i="24"/>
  <c r="P73" i="24"/>
  <c r="P74" i="24"/>
  <c r="P75" i="24"/>
  <c r="P76" i="24"/>
  <c r="P77" i="24"/>
  <c r="P78" i="24"/>
  <c r="P79" i="24"/>
  <c r="P80" i="24"/>
  <c r="P81" i="24"/>
  <c r="P82" i="24"/>
  <c r="P83" i="24"/>
  <c r="P84" i="24"/>
  <c r="P85" i="24"/>
  <c r="P86" i="24"/>
  <c r="P87" i="24"/>
  <c r="P88" i="24"/>
  <c r="P89" i="24"/>
  <c r="P90" i="24"/>
  <c r="P91" i="24"/>
  <c r="P92" i="24"/>
  <c r="P93" i="24"/>
  <c r="P94" i="24"/>
  <c r="P95" i="24"/>
  <c r="P96" i="24"/>
  <c r="P97" i="24"/>
  <c r="P98" i="24"/>
  <c r="P99" i="24"/>
  <c r="P100" i="24"/>
  <c r="P101" i="24"/>
  <c r="P102" i="24"/>
  <c r="P103" i="24"/>
  <c r="P104" i="24"/>
  <c r="P105" i="24"/>
  <c r="P106" i="24"/>
  <c r="P107" i="24"/>
  <c r="P108" i="24"/>
  <c r="P109" i="24"/>
  <c r="P110" i="24"/>
  <c r="P111" i="24"/>
  <c r="P112" i="24"/>
  <c r="P113" i="24"/>
  <c r="P114" i="24"/>
  <c r="P115" i="24"/>
  <c r="P116" i="24"/>
  <c r="P117" i="24"/>
  <c r="P118" i="24"/>
  <c r="P119" i="24"/>
  <c r="P120" i="24"/>
  <c r="P121" i="24"/>
  <c r="P122" i="24"/>
  <c r="P123" i="24"/>
  <c r="P124" i="24"/>
  <c r="P125" i="24"/>
  <c r="P126" i="24"/>
  <c r="P127" i="24"/>
  <c r="P128" i="24"/>
  <c r="P129" i="24"/>
  <c r="P130" i="24"/>
  <c r="P131" i="24"/>
  <c r="P132" i="24"/>
  <c r="P133" i="24"/>
  <c r="P134" i="24"/>
  <c r="P135" i="24"/>
  <c r="P136" i="24"/>
  <c r="P137" i="24"/>
  <c r="P138" i="24"/>
  <c r="P139" i="24"/>
  <c r="P140" i="24"/>
  <c r="P141" i="24"/>
  <c r="P142" i="24"/>
  <c r="P143" i="24"/>
  <c r="P144" i="24"/>
  <c r="P145" i="24"/>
  <c r="P146" i="24"/>
  <c r="P147" i="24"/>
  <c r="P148" i="24"/>
  <c r="P149" i="24"/>
  <c r="P150" i="24"/>
  <c r="P151" i="24"/>
  <c r="P152" i="24"/>
  <c r="P153" i="24"/>
  <c r="P154" i="24"/>
  <c r="P155" i="24"/>
  <c r="P156" i="24"/>
  <c r="P157" i="24"/>
  <c r="P158" i="24"/>
  <c r="P159" i="24"/>
  <c r="P160" i="24"/>
  <c r="P161" i="24"/>
  <c r="P162" i="24"/>
  <c r="P163" i="24"/>
  <c r="P164" i="24"/>
  <c r="P165" i="24"/>
  <c r="P166" i="24"/>
  <c r="P167" i="24"/>
  <c r="P168" i="24"/>
  <c r="P169" i="24"/>
  <c r="P170" i="24"/>
  <c r="P171" i="24"/>
  <c r="P172" i="24"/>
  <c r="P173" i="24"/>
  <c r="P174" i="24"/>
  <c r="P175" i="24"/>
  <c r="P176" i="24"/>
  <c r="P177" i="24"/>
  <c r="P178" i="24"/>
  <c r="P179" i="24"/>
  <c r="P180" i="24"/>
  <c r="P181" i="24"/>
  <c r="P182" i="24"/>
  <c r="P183" i="24"/>
  <c r="P184" i="24"/>
  <c r="P58" i="24"/>
  <c r="I77" i="24"/>
  <c r="I78" i="24"/>
  <c r="I79" i="24"/>
  <c r="I80" i="24"/>
  <c r="I81" i="24"/>
  <c r="I82" i="24"/>
  <c r="I83" i="24"/>
  <c r="I84" i="24"/>
  <c r="I85" i="24"/>
  <c r="I86" i="24"/>
  <c r="I87" i="24"/>
  <c r="I88" i="24"/>
  <c r="I89" i="24"/>
  <c r="I90" i="24"/>
  <c r="I91" i="24"/>
  <c r="I92" i="24"/>
  <c r="I93" i="24"/>
  <c r="I94" i="24"/>
  <c r="I95" i="24"/>
  <c r="I96" i="24"/>
  <c r="I97" i="24"/>
  <c r="I98" i="24"/>
  <c r="I99" i="24"/>
  <c r="I100" i="24"/>
  <c r="I101" i="24"/>
  <c r="I102" i="24"/>
  <c r="I103" i="24"/>
  <c r="I104" i="24"/>
  <c r="I105" i="24"/>
  <c r="I106" i="24"/>
  <c r="I107" i="24"/>
  <c r="I108" i="24"/>
  <c r="I109" i="24"/>
  <c r="I110" i="24"/>
  <c r="I111" i="24"/>
  <c r="I112" i="24"/>
  <c r="I113" i="24"/>
  <c r="I114" i="24"/>
  <c r="I115" i="24"/>
  <c r="I116" i="24"/>
  <c r="I117" i="24"/>
  <c r="I118" i="24"/>
  <c r="I119" i="24"/>
  <c r="I120" i="24"/>
  <c r="I121" i="24"/>
  <c r="I122" i="24"/>
  <c r="I123" i="24"/>
  <c r="I124" i="24"/>
  <c r="I125" i="24"/>
  <c r="I126" i="24"/>
  <c r="I128" i="24"/>
  <c r="I129" i="24"/>
  <c r="I130" i="24"/>
  <c r="I131" i="24"/>
  <c r="I132" i="24"/>
  <c r="I133" i="24"/>
  <c r="I134" i="24"/>
  <c r="I135" i="24"/>
  <c r="I136" i="24"/>
  <c r="I137" i="24"/>
  <c r="I138" i="24"/>
  <c r="I139" i="24"/>
  <c r="I140" i="24"/>
  <c r="I141" i="24"/>
  <c r="I142" i="24"/>
  <c r="I143" i="24"/>
  <c r="I144" i="24"/>
  <c r="I145" i="24"/>
  <c r="I146" i="24"/>
  <c r="I147" i="24"/>
  <c r="I148" i="24"/>
  <c r="I149" i="24"/>
  <c r="I150" i="24"/>
  <c r="I151" i="24"/>
  <c r="I152" i="24"/>
  <c r="I153" i="24"/>
  <c r="I154" i="24"/>
  <c r="I155" i="24"/>
  <c r="I156" i="24"/>
  <c r="I157" i="24"/>
  <c r="I158" i="24"/>
  <c r="I159" i="24"/>
  <c r="I160" i="24"/>
  <c r="I161" i="24"/>
  <c r="I162" i="24"/>
  <c r="I163" i="24"/>
  <c r="I164" i="24"/>
  <c r="I165" i="24"/>
  <c r="R28" i="24" s="1"/>
  <c r="I166" i="24"/>
  <c r="I167" i="24"/>
  <c r="I168" i="24"/>
  <c r="I169" i="24"/>
  <c r="I170" i="24"/>
  <c r="I171" i="24"/>
  <c r="I172" i="24"/>
  <c r="I173" i="24"/>
  <c r="I174" i="24"/>
  <c r="I175" i="24"/>
  <c r="I176" i="24"/>
  <c r="I177" i="24"/>
  <c r="I178" i="24"/>
  <c r="I179" i="24"/>
  <c r="I180" i="24"/>
  <c r="I181" i="24"/>
  <c r="I182" i="24"/>
  <c r="I183" i="24"/>
  <c r="I184" i="24"/>
  <c r="I59" i="24"/>
  <c r="I60" i="24"/>
  <c r="I61" i="24"/>
  <c r="I62" i="24"/>
  <c r="I63" i="24"/>
  <c r="I64" i="24"/>
  <c r="I65" i="24"/>
  <c r="I66" i="24"/>
  <c r="I67" i="24"/>
  <c r="I68" i="24"/>
  <c r="I69" i="24"/>
  <c r="I70" i="24"/>
  <c r="I71" i="24"/>
  <c r="I72" i="24"/>
  <c r="I73" i="24"/>
  <c r="I74" i="24"/>
  <c r="I75" i="24"/>
  <c r="I76" i="24"/>
  <c r="I58" i="24"/>
  <c r="W99" i="24" l="1"/>
  <c r="W105" i="24"/>
  <c r="D10" i="20" l="1"/>
  <c r="I10" i="20" s="1"/>
  <c r="J10" i="20" s="1"/>
  <c r="L10" i="20" s="1"/>
  <c r="E10" i="20"/>
  <c r="D30" i="20"/>
  <c r="D29" i="20"/>
  <c r="C5" i="20" s="1"/>
  <c r="J9" i="20"/>
  <c r="L9" i="20" s="1"/>
  <c r="F9" i="20"/>
  <c r="I6" i="20"/>
  <c r="H6" i="20"/>
  <c r="G6" i="20"/>
  <c r="E6" i="20"/>
  <c r="D6" i="20"/>
  <c r="J16" i="20"/>
  <c r="L16" i="20" s="1"/>
  <c r="J14" i="20"/>
  <c r="L14" i="20" s="1"/>
  <c r="J22" i="20"/>
  <c r="L22" i="20" s="1"/>
  <c r="F11" i="20"/>
  <c r="E11" i="20"/>
  <c r="G11" i="20" s="1"/>
  <c r="J11" i="20" s="1"/>
  <c r="L11" i="20" s="1"/>
  <c r="D11" i="20"/>
  <c r="J19" i="20"/>
  <c r="L19" i="20" s="1"/>
  <c r="J21" i="20"/>
  <c r="L21" i="20" s="1"/>
  <c r="J17" i="20"/>
  <c r="L17" i="20" s="1"/>
  <c r="L82" i="25" s="1"/>
  <c r="J18" i="20"/>
  <c r="L18" i="20" s="1"/>
  <c r="J15" i="20"/>
  <c r="L15" i="20" s="1"/>
  <c r="E8" i="20"/>
  <c r="G8" i="20" s="1"/>
  <c r="F8" i="20"/>
  <c r="H8" i="20" s="1"/>
  <c r="D8" i="20"/>
  <c r="J20" i="20"/>
  <c r="L20" i="20" s="1"/>
  <c r="AK5" i="25"/>
  <c r="AK10" i="25"/>
  <c r="AK8" i="25"/>
  <c r="AK12" i="25"/>
  <c r="AK13" i="25"/>
  <c r="AK16" i="25"/>
  <c r="AK15" i="25"/>
  <c r="AK19" i="25"/>
  <c r="AK6" i="25"/>
  <c r="AK11" i="25"/>
  <c r="AK14" i="25"/>
  <c r="AK9" i="25"/>
  <c r="AK7" i="25"/>
  <c r="AK17" i="25"/>
  <c r="AK21" i="25"/>
  <c r="AK18" i="25"/>
  <c r="AK20" i="25"/>
  <c r="AK22" i="25"/>
  <c r="AK23" i="25"/>
  <c r="AK4" i="25"/>
  <c r="AA5" i="25"/>
  <c r="AA10" i="25"/>
  <c r="AA6" i="25"/>
  <c r="AA8" i="25"/>
  <c r="AA9" i="25"/>
  <c r="AA11" i="25"/>
  <c r="AA7" i="25"/>
  <c r="AA16" i="25"/>
  <c r="AA13" i="25"/>
  <c r="AA14" i="25"/>
  <c r="AA12" i="25"/>
  <c r="AA17" i="25"/>
  <c r="AA18" i="25"/>
  <c r="AA15" i="25"/>
  <c r="AA20" i="25"/>
  <c r="AA19" i="25"/>
  <c r="AA21" i="25"/>
  <c r="AA23" i="25"/>
  <c r="AA22" i="25"/>
  <c r="AA4" i="25"/>
  <c r="T5" i="25"/>
  <c r="T6" i="25"/>
  <c r="T7" i="25"/>
  <c r="T9" i="25"/>
  <c r="T10" i="25"/>
  <c r="T11" i="25"/>
  <c r="T8" i="25"/>
  <c r="T12" i="25"/>
  <c r="T13" i="25"/>
  <c r="T15" i="25"/>
  <c r="T17" i="25"/>
  <c r="T16" i="25"/>
  <c r="T14" i="25"/>
  <c r="T21" i="25"/>
  <c r="T18" i="25"/>
  <c r="T19" i="25"/>
  <c r="T20" i="25"/>
  <c r="T22" i="25"/>
  <c r="T23" i="25"/>
  <c r="T4" i="25"/>
  <c r="B5" i="25"/>
  <c r="B11" i="25"/>
  <c r="B9" i="25"/>
  <c r="B7" i="25"/>
  <c r="B6" i="25"/>
  <c r="B10" i="25"/>
  <c r="B8" i="25"/>
  <c r="B13" i="25"/>
  <c r="B15" i="25"/>
  <c r="B14" i="25"/>
  <c r="B12" i="25"/>
  <c r="B17" i="25"/>
  <c r="B16" i="25"/>
  <c r="B21" i="25"/>
  <c r="B18" i="25"/>
  <c r="B20" i="25"/>
  <c r="B19" i="25"/>
  <c r="B22" i="25"/>
  <c r="B23" i="25"/>
  <c r="C54" i="14"/>
  <c r="J4" i="14" s="1"/>
  <c r="X51" i="24"/>
  <c r="V29" i="24"/>
  <c r="W29" i="24"/>
  <c r="X29" i="24"/>
  <c r="Y29" i="24"/>
  <c r="V30" i="24"/>
  <c r="W30" i="24"/>
  <c r="X30" i="24"/>
  <c r="Y30" i="24"/>
  <c r="V31" i="24"/>
  <c r="W31" i="24"/>
  <c r="X31" i="24"/>
  <c r="Y31" i="24"/>
  <c r="V32" i="24"/>
  <c r="W32" i="24"/>
  <c r="X32" i="24"/>
  <c r="Y32" i="24"/>
  <c r="V33" i="24"/>
  <c r="W33" i="24"/>
  <c r="X33" i="24"/>
  <c r="Y33" i="24"/>
  <c r="V34" i="24"/>
  <c r="W34" i="24"/>
  <c r="X34" i="24"/>
  <c r="Y34" i="24"/>
  <c r="V35" i="24"/>
  <c r="W35" i="24"/>
  <c r="X35" i="24"/>
  <c r="Y35" i="24"/>
  <c r="V36" i="24"/>
  <c r="W36" i="24"/>
  <c r="X36" i="24"/>
  <c r="Y36" i="24"/>
  <c r="V37" i="24"/>
  <c r="W37" i="24"/>
  <c r="X37" i="24"/>
  <c r="Y37" i="24"/>
  <c r="V38" i="24"/>
  <c r="W38" i="24"/>
  <c r="X38" i="24"/>
  <c r="Y38" i="24"/>
  <c r="V39" i="24"/>
  <c r="W39" i="24"/>
  <c r="X39" i="24"/>
  <c r="Y39" i="24"/>
  <c r="V40" i="24"/>
  <c r="W40" i="24"/>
  <c r="X40" i="24"/>
  <c r="Y40" i="24"/>
  <c r="V41" i="24"/>
  <c r="W41" i="24"/>
  <c r="X41" i="24"/>
  <c r="Y41" i="24"/>
  <c r="V42" i="24"/>
  <c r="W42" i="24"/>
  <c r="X42" i="24"/>
  <c r="Y42" i="24"/>
  <c r="V43" i="24"/>
  <c r="W43" i="24"/>
  <c r="X43" i="24"/>
  <c r="Y43" i="24"/>
  <c r="V44" i="24"/>
  <c r="W44" i="24"/>
  <c r="X44" i="24"/>
  <c r="Y44" i="24"/>
  <c r="V45" i="24"/>
  <c r="W45" i="24"/>
  <c r="X45" i="24"/>
  <c r="Y45" i="24"/>
  <c r="V46" i="24"/>
  <c r="W46" i="24"/>
  <c r="X46" i="24"/>
  <c r="Y46" i="24"/>
  <c r="V47" i="24"/>
  <c r="W47" i="24"/>
  <c r="X47" i="24"/>
  <c r="Y47" i="24"/>
  <c r="V48" i="24"/>
  <c r="W48" i="24"/>
  <c r="X48" i="24"/>
  <c r="Y48" i="24"/>
  <c r="V49" i="24"/>
  <c r="W49" i="24"/>
  <c r="X49" i="24"/>
  <c r="Y49" i="24"/>
  <c r="V50" i="24"/>
  <c r="W50" i="24"/>
  <c r="X50" i="24"/>
  <c r="Y50" i="24"/>
  <c r="V51" i="24"/>
  <c r="W51" i="24"/>
  <c r="Y51" i="24"/>
  <c r="V53" i="24"/>
  <c r="W53" i="24"/>
  <c r="X53" i="24"/>
  <c r="Y53" i="24"/>
  <c r="Y28" i="24"/>
  <c r="X28" i="24"/>
  <c r="W28" i="24"/>
  <c r="V28" i="24"/>
  <c r="U28" i="24"/>
  <c r="T28" i="24"/>
  <c r="D28" i="24" s="1"/>
  <c r="M29" i="24"/>
  <c r="N29" i="24"/>
  <c r="F29" i="24" s="1"/>
  <c r="E5" i="24" s="1"/>
  <c r="O29" i="24"/>
  <c r="P29" i="24"/>
  <c r="H29" i="24" s="1"/>
  <c r="G5" i="24" s="1"/>
  <c r="Q29" i="24"/>
  <c r="I29" i="24" s="1"/>
  <c r="H5" i="24" s="1"/>
  <c r="R29" i="24"/>
  <c r="M30" i="24"/>
  <c r="N30" i="24"/>
  <c r="F30" i="24" s="1"/>
  <c r="E10" i="24" s="1"/>
  <c r="O30" i="24"/>
  <c r="G30" i="24" s="1"/>
  <c r="F10" i="24" s="1"/>
  <c r="P30" i="24"/>
  <c r="H30" i="24" s="1"/>
  <c r="G10" i="24" s="1"/>
  <c r="Q30" i="24"/>
  <c r="I30" i="24" s="1"/>
  <c r="H10" i="24" s="1"/>
  <c r="R30" i="24"/>
  <c r="M31" i="24"/>
  <c r="N31" i="24"/>
  <c r="F31" i="24" s="1"/>
  <c r="E7" i="24" s="1"/>
  <c r="O31" i="24"/>
  <c r="P31" i="24"/>
  <c r="H31" i="24" s="1"/>
  <c r="G7" i="24" s="1"/>
  <c r="Q31" i="24"/>
  <c r="I31" i="24" s="1"/>
  <c r="H7" i="24" s="1"/>
  <c r="R31" i="24"/>
  <c r="M32" i="24"/>
  <c r="N32" i="24"/>
  <c r="F32" i="24" s="1"/>
  <c r="E8" i="24" s="1"/>
  <c r="O32" i="24"/>
  <c r="P32" i="24"/>
  <c r="Q32" i="24"/>
  <c r="R32" i="24"/>
  <c r="M33" i="24"/>
  <c r="N33" i="24"/>
  <c r="F33" i="24" s="1"/>
  <c r="E9" i="24" s="1"/>
  <c r="O33" i="24"/>
  <c r="P33" i="24"/>
  <c r="H33" i="24" s="1"/>
  <c r="G9" i="24" s="1"/>
  <c r="Q33" i="24"/>
  <c r="I33" i="24" s="1"/>
  <c r="H9" i="24" s="1"/>
  <c r="R33" i="24"/>
  <c r="M34" i="24"/>
  <c r="N34" i="24"/>
  <c r="F34" i="24" s="1"/>
  <c r="E12" i="24" s="1"/>
  <c r="O34" i="24"/>
  <c r="G34" i="24" s="1"/>
  <c r="F12" i="24" s="1"/>
  <c r="P34" i="24"/>
  <c r="H34" i="24" s="1"/>
  <c r="G12" i="24" s="1"/>
  <c r="Q34" i="24"/>
  <c r="I34" i="24" s="1"/>
  <c r="H12" i="24" s="1"/>
  <c r="R34" i="24"/>
  <c r="M35" i="24"/>
  <c r="N35" i="24"/>
  <c r="F35" i="24" s="1"/>
  <c r="E11" i="24" s="1"/>
  <c r="O35" i="24"/>
  <c r="P35" i="24"/>
  <c r="H35" i="24" s="1"/>
  <c r="G11" i="24" s="1"/>
  <c r="Q35" i="24"/>
  <c r="I35" i="24" s="1"/>
  <c r="H11" i="24" s="1"/>
  <c r="R35" i="24"/>
  <c r="M36" i="24"/>
  <c r="N36" i="24"/>
  <c r="F36" i="24" s="1"/>
  <c r="E14" i="24" s="1"/>
  <c r="O36" i="24"/>
  <c r="P36" i="24"/>
  <c r="Q36" i="24"/>
  <c r="R36" i="24"/>
  <c r="M37" i="24"/>
  <c r="N37" i="24"/>
  <c r="F37" i="24" s="1"/>
  <c r="E15" i="24" s="1"/>
  <c r="O37" i="24"/>
  <c r="P37" i="24"/>
  <c r="H37" i="24" s="1"/>
  <c r="G15" i="24" s="1"/>
  <c r="Q37" i="24"/>
  <c r="I37" i="24" s="1"/>
  <c r="H15" i="24" s="1"/>
  <c r="R37" i="24"/>
  <c r="M38" i="24"/>
  <c r="N38" i="24"/>
  <c r="F38" i="24" s="1"/>
  <c r="E18" i="24" s="1"/>
  <c r="O38" i="24"/>
  <c r="G38" i="24" s="1"/>
  <c r="F18" i="24" s="1"/>
  <c r="P38" i="24"/>
  <c r="H38" i="24" s="1"/>
  <c r="G18" i="24" s="1"/>
  <c r="Q38" i="24"/>
  <c r="I38" i="24" s="1"/>
  <c r="H18" i="24" s="1"/>
  <c r="R38" i="24"/>
  <c r="M39" i="24"/>
  <c r="N39" i="24"/>
  <c r="F39" i="24" s="1"/>
  <c r="E19" i="24" s="1"/>
  <c r="O39" i="24"/>
  <c r="P39" i="24"/>
  <c r="H39" i="24" s="1"/>
  <c r="G19" i="24" s="1"/>
  <c r="Q39" i="24"/>
  <c r="I39" i="24" s="1"/>
  <c r="H19" i="24" s="1"/>
  <c r="R39" i="24"/>
  <c r="M40" i="24"/>
  <c r="N40" i="24"/>
  <c r="F40" i="24" s="1"/>
  <c r="E17" i="24" s="1"/>
  <c r="O40" i="24"/>
  <c r="P40" i="24"/>
  <c r="Q40" i="24"/>
  <c r="R40" i="24"/>
  <c r="M41" i="24"/>
  <c r="N41" i="24"/>
  <c r="F41" i="24" s="1"/>
  <c r="E20" i="24" s="1"/>
  <c r="O41" i="24"/>
  <c r="P41" i="24"/>
  <c r="H41" i="24" s="1"/>
  <c r="G20" i="24" s="1"/>
  <c r="Q41" i="24"/>
  <c r="I41" i="24" s="1"/>
  <c r="H20" i="24" s="1"/>
  <c r="R41" i="24"/>
  <c r="M42" i="24"/>
  <c r="N42" i="24"/>
  <c r="F42" i="24" s="1"/>
  <c r="E16" i="24" s="1"/>
  <c r="O42" i="24"/>
  <c r="G42" i="24" s="1"/>
  <c r="F16" i="24" s="1"/>
  <c r="P42" i="24"/>
  <c r="H42" i="24" s="1"/>
  <c r="G16" i="24" s="1"/>
  <c r="Q42" i="24"/>
  <c r="I42" i="24" s="1"/>
  <c r="H16" i="24" s="1"/>
  <c r="R42" i="24"/>
  <c r="M43" i="24"/>
  <c r="N43" i="24"/>
  <c r="F43" i="24" s="1"/>
  <c r="E22" i="24" s="1"/>
  <c r="O43" i="24"/>
  <c r="P43" i="24"/>
  <c r="H43" i="24" s="1"/>
  <c r="G22" i="24" s="1"/>
  <c r="Q43" i="24"/>
  <c r="I43" i="24" s="1"/>
  <c r="H22" i="24" s="1"/>
  <c r="R43" i="24"/>
  <c r="M44" i="24"/>
  <c r="N44" i="24"/>
  <c r="F44" i="24" s="1"/>
  <c r="E6" i="24" s="1"/>
  <c r="O44" i="24"/>
  <c r="P44" i="24"/>
  <c r="Q44" i="24"/>
  <c r="R44" i="24"/>
  <c r="M45" i="24"/>
  <c r="N45" i="24"/>
  <c r="F45" i="24" s="1"/>
  <c r="E13" i="24" s="1"/>
  <c r="O45" i="24"/>
  <c r="P45" i="24"/>
  <c r="H45" i="24" s="1"/>
  <c r="G13" i="24" s="1"/>
  <c r="Q45" i="24"/>
  <c r="I45" i="24" s="1"/>
  <c r="H13" i="24" s="1"/>
  <c r="R45" i="24"/>
  <c r="M46" i="24"/>
  <c r="N46" i="24"/>
  <c r="F46" i="24" s="1"/>
  <c r="E21" i="24" s="1"/>
  <c r="O46" i="24"/>
  <c r="G46" i="24" s="1"/>
  <c r="F21" i="24" s="1"/>
  <c r="P46" i="24"/>
  <c r="H46" i="24" s="1"/>
  <c r="G21" i="24" s="1"/>
  <c r="Q46" i="24"/>
  <c r="I46" i="24" s="1"/>
  <c r="H21" i="24" s="1"/>
  <c r="R46" i="24"/>
  <c r="M47" i="24"/>
  <c r="N47" i="24"/>
  <c r="F47" i="24" s="1"/>
  <c r="O47" i="24"/>
  <c r="P47" i="24"/>
  <c r="H47" i="24" s="1"/>
  <c r="Q47" i="24"/>
  <c r="I47" i="24" s="1"/>
  <c r="R47" i="24"/>
  <c r="M48" i="24"/>
  <c r="N48" i="24"/>
  <c r="F48" i="24" s="1"/>
  <c r="O48" i="24"/>
  <c r="P48" i="24"/>
  <c r="Q48" i="24"/>
  <c r="R48" i="24"/>
  <c r="M49" i="24"/>
  <c r="N49" i="24"/>
  <c r="F49" i="24" s="1"/>
  <c r="O49" i="24"/>
  <c r="P49" i="24"/>
  <c r="H49" i="24" s="1"/>
  <c r="Q49" i="24"/>
  <c r="I49" i="24" s="1"/>
  <c r="R49" i="24"/>
  <c r="M50" i="24"/>
  <c r="N50" i="24"/>
  <c r="F50" i="24" s="1"/>
  <c r="O50" i="24"/>
  <c r="G50" i="24" s="1"/>
  <c r="P50" i="24"/>
  <c r="H50" i="24" s="1"/>
  <c r="Q50" i="24"/>
  <c r="I50" i="24" s="1"/>
  <c r="R50" i="24"/>
  <c r="M51" i="24"/>
  <c r="N51" i="24"/>
  <c r="F51" i="24" s="1"/>
  <c r="O51" i="24"/>
  <c r="P51" i="24"/>
  <c r="Q51" i="24"/>
  <c r="I51" i="24" s="1"/>
  <c r="R51" i="24"/>
  <c r="M53" i="24"/>
  <c r="N53" i="24"/>
  <c r="F53" i="24" s="1"/>
  <c r="E23" i="24" s="1"/>
  <c r="O53" i="24"/>
  <c r="G53" i="24" s="1"/>
  <c r="F23" i="24" s="1"/>
  <c r="P53" i="24"/>
  <c r="Q53" i="24"/>
  <c r="R53" i="24"/>
  <c r="Q28" i="24"/>
  <c r="P28" i="24"/>
  <c r="H28" i="24" s="1"/>
  <c r="G4" i="24" s="1"/>
  <c r="O28" i="24"/>
  <c r="N28" i="24"/>
  <c r="F28" i="24" s="1"/>
  <c r="E4" i="24" s="1"/>
  <c r="M28" i="24"/>
  <c r="E28" i="24" s="1"/>
  <c r="D4" i="24" s="1"/>
  <c r="L29" i="24"/>
  <c r="L30" i="24"/>
  <c r="L31" i="24"/>
  <c r="L32" i="24"/>
  <c r="L33" i="24"/>
  <c r="L34" i="24"/>
  <c r="L35" i="24"/>
  <c r="L36" i="24"/>
  <c r="L37" i="24"/>
  <c r="L38" i="24"/>
  <c r="L39" i="24"/>
  <c r="L40" i="24"/>
  <c r="L41" i="24"/>
  <c r="L42" i="24"/>
  <c r="L43" i="24"/>
  <c r="L44" i="24"/>
  <c r="L45" i="24"/>
  <c r="L46" i="24"/>
  <c r="L47" i="24"/>
  <c r="L48" i="24"/>
  <c r="L49" i="24"/>
  <c r="L50" i="24"/>
  <c r="L51" i="24"/>
  <c r="L53" i="24"/>
  <c r="T29" i="24"/>
  <c r="U29" i="24"/>
  <c r="T30" i="24"/>
  <c r="U30" i="24"/>
  <c r="T31" i="24"/>
  <c r="U31" i="24"/>
  <c r="T32" i="24"/>
  <c r="U32" i="24"/>
  <c r="T33" i="24"/>
  <c r="U33" i="24"/>
  <c r="T34" i="24"/>
  <c r="U34" i="24"/>
  <c r="T35" i="24"/>
  <c r="U35" i="24"/>
  <c r="T36" i="24"/>
  <c r="U36" i="24"/>
  <c r="T37" i="24"/>
  <c r="U37" i="24"/>
  <c r="T38" i="24"/>
  <c r="U38" i="24"/>
  <c r="T39" i="24"/>
  <c r="U39" i="24"/>
  <c r="T40" i="24"/>
  <c r="U40" i="24"/>
  <c r="T41" i="24"/>
  <c r="U41" i="24"/>
  <c r="T42" i="24"/>
  <c r="U42" i="24"/>
  <c r="T43" i="24"/>
  <c r="U43" i="24"/>
  <c r="T44" i="24"/>
  <c r="U44" i="24"/>
  <c r="T45" i="24"/>
  <c r="U45" i="24"/>
  <c r="T46" i="24"/>
  <c r="U46" i="24"/>
  <c r="T47" i="24"/>
  <c r="U47" i="24"/>
  <c r="T48" i="24"/>
  <c r="U48" i="24"/>
  <c r="T49" i="24"/>
  <c r="U49" i="24"/>
  <c r="T50" i="24"/>
  <c r="U50" i="24"/>
  <c r="T51" i="24"/>
  <c r="U51" i="24"/>
  <c r="T53" i="24"/>
  <c r="U53" i="24"/>
  <c r="Y52" i="24" a="1"/>
  <c r="Y52" i="24" s="1"/>
  <c r="X52" i="24" a="1"/>
  <c r="X52" i="24" s="1"/>
  <c r="W52" i="24" a="1"/>
  <c r="W52" i="24" s="1"/>
  <c r="V52" i="24" a="1"/>
  <c r="V52" i="24" s="1"/>
  <c r="T52" i="24" a="1"/>
  <c r="T52" i="24" s="1"/>
  <c r="U52" i="24" a="1"/>
  <c r="U52" i="24" s="1"/>
  <c r="R52" i="24" a="1"/>
  <c r="R52" i="24" s="1"/>
  <c r="Q52" i="24" a="1"/>
  <c r="Q52" i="24" s="1"/>
  <c r="P52" i="24" a="1"/>
  <c r="P52" i="24" s="1"/>
  <c r="O52" i="24" a="1"/>
  <c r="O52" i="24" s="1"/>
  <c r="M52" i="24" a="1"/>
  <c r="M52" i="24" s="1"/>
  <c r="N52" i="24" a="1"/>
  <c r="N52" i="24" s="1"/>
  <c r="L52" i="24" a="1"/>
  <c r="L52" i="24" s="1"/>
  <c r="D52" i="24" s="1"/>
  <c r="H51" i="24" l="1"/>
  <c r="I48" i="24"/>
  <c r="I44" i="24"/>
  <c r="H6" i="24" s="1"/>
  <c r="I40" i="24"/>
  <c r="H17" i="24" s="1"/>
  <c r="I36" i="24"/>
  <c r="H14" i="24" s="1"/>
  <c r="I32" i="24"/>
  <c r="H8" i="24" s="1"/>
  <c r="I28" i="24"/>
  <c r="H4" i="24" s="1"/>
  <c r="C4" i="24"/>
  <c r="J27" i="14"/>
  <c r="L27" i="14" s="1"/>
  <c r="J31" i="14"/>
  <c r="L31" i="14" s="1"/>
  <c r="J26" i="14"/>
  <c r="L26" i="14" s="1"/>
  <c r="J36" i="14"/>
  <c r="L36" i="14" s="1"/>
  <c r="J11" i="14"/>
  <c r="L11" i="14" s="1"/>
  <c r="L4" i="14"/>
  <c r="G7" i="20"/>
  <c r="J7" i="20" s="1"/>
  <c r="L7" i="20" s="1"/>
  <c r="E5" i="20"/>
  <c r="H5" i="20" s="1"/>
  <c r="L77" i="25"/>
  <c r="L91" i="25"/>
  <c r="J6" i="20"/>
  <c r="L6" i="20" s="1"/>
  <c r="F5" i="20"/>
  <c r="J8" i="20"/>
  <c r="L8" i="20" s="1"/>
  <c r="D5" i="20"/>
  <c r="U20" i="25"/>
  <c r="C44" i="25"/>
  <c r="G21" i="25" s="1"/>
  <c r="F52" i="24"/>
  <c r="I53" i="24"/>
  <c r="H23" i="24" s="1"/>
  <c r="H48" i="24"/>
  <c r="H44" i="24"/>
  <c r="G6" i="24" s="1"/>
  <c r="H40" i="24"/>
  <c r="G17" i="24" s="1"/>
  <c r="H36" i="24"/>
  <c r="G14" i="24" s="1"/>
  <c r="H32" i="24"/>
  <c r="G8" i="24" s="1"/>
  <c r="G40" i="24"/>
  <c r="F17" i="24" s="1"/>
  <c r="G36" i="24"/>
  <c r="F14" i="24" s="1"/>
  <c r="G32" i="24"/>
  <c r="F8" i="24" s="1"/>
  <c r="H53" i="24"/>
  <c r="G23" i="24" s="1"/>
  <c r="G44" i="24"/>
  <c r="F6" i="24" s="1"/>
  <c r="G48" i="24"/>
  <c r="G28" i="24"/>
  <c r="G49" i="24"/>
  <c r="G45" i="24"/>
  <c r="F13" i="24" s="1"/>
  <c r="G41" i="24"/>
  <c r="F20" i="24" s="1"/>
  <c r="G37" i="24"/>
  <c r="F15" i="24" s="1"/>
  <c r="G33" i="24"/>
  <c r="F9" i="24" s="1"/>
  <c r="G29" i="24"/>
  <c r="F5" i="24" s="1"/>
  <c r="G51" i="24"/>
  <c r="G47" i="24"/>
  <c r="G43" i="24"/>
  <c r="F22" i="24" s="1"/>
  <c r="G39" i="24"/>
  <c r="F19" i="24" s="1"/>
  <c r="G35" i="24"/>
  <c r="F11" i="24" s="1"/>
  <c r="G31" i="24"/>
  <c r="F7" i="24" s="1"/>
  <c r="AC15" i="25"/>
  <c r="AD14" i="25"/>
  <c r="AD19" i="25"/>
  <c r="V12" i="25"/>
  <c r="C30" i="25"/>
  <c r="G8" i="25" s="1"/>
  <c r="C36" i="25"/>
  <c r="G9" i="25" s="1"/>
  <c r="U16" i="25"/>
  <c r="H52" i="24"/>
  <c r="G52" i="24"/>
  <c r="D38" i="24"/>
  <c r="D30" i="24"/>
  <c r="D50" i="24"/>
  <c r="D42" i="24"/>
  <c r="D34" i="24"/>
  <c r="D49" i="24"/>
  <c r="D41" i="24"/>
  <c r="D33" i="24"/>
  <c r="D48" i="24"/>
  <c r="D40" i="24"/>
  <c r="D32" i="24"/>
  <c r="E49" i="24"/>
  <c r="E45" i="24"/>
  <c r="D13" i="24" s="1"/>
  <c r="E41" i="24"/>
  <c r="D20" i="24" s="1"/>
  <c r="E37" i="24"/>
  <c r="D15" i="24" s="1"/>
  <c r="E33" i="24"/>
  <c r="D9" i="24" s="1"/>
  <c r="E29" i="24"/>
  <c r="D5" i="24" s="1"/>
  <c r="E52" i="24"/>
  <c r="D47" i="24"/>
  <c r="D39" i="24"/>
  <c r="D31" i="24"/>
  <c r="D46" i="24"/>
  <c r="E50" i="24"/>
  <c r="E46" i="24"/>
  <c r="D21" i="24" s="1"/>
  <c r="E42" i="24"/>
  <c r="D16" i="24" s="1"/>
  <c r="E38" i="24"/>
  <c r="D18" i="24" s="1"/>
  <c r="E34" i="24"/>
  <c r="D12" i="24" s="1"/>
  <c r="E30" i="24"/>
  <c r="D10" i="24" s="1"/>
  <c r="D45" i="24"/>
  <c r="D37" i="24"/>
  <c r="D29" i="24"/>
  <c r="I52" i="24"/>
  <c r="D53" i="24"/>
  <c r="D44" i="24"/>
  <c r="D36" i="24"/>
  <c r="E51" i="24"/>
  <c r="E47" i="24"/>
  <c r="E43" i="24"/>
  <c r="D22" i="24" s="1"/>
  <c r="E39" i="24"/>
  <c r="D19" i="24" s="1"/>
  <c r="E35" i="24"/>
  <c r="D11" i="24" s="1"/>
  <c r="E31" i="24"/>
  <c r="D7" i="24" s="1"/>
  <c r="D51" i="24"/>
  <c r="D43" i="24"/>
  <c r="D35" i="24"/>
  <c r="E53" i="24"/>
  <c r="D23" i="24" s="1"/>
  <c r="E48" i="24"/>
  <c r="E44" i="24"/>
  <c r="D6" i="24" s="1"/>
  <c r="E40" i="24"/>
  <c r="D17" i="24" s="1"/>
  <c r="E36" i="24"/>
  <c r="D14" i="24" s="1"/>
  <c r="E32" i="24"/>
  <c r="D8" i="24" s="1"/>
  <c r="S49" i="24"/>
  <c r="W162" i="24"/>
  <c r="W85" i="24"/>
  <c r="Z28" i="24"/>
  <c r="W128" i="24"/>
  <c r="S50" i="24"/>
  <c r="Z31" i="24"/>
  <c r="W83" i="24"/>
  <c r="W122" i="24"/>
  <c r="W98" i="24"/>
  <c r="Z35" i="24"/>
  <c r="W180" i="24"/>
  <c r="W170" i="24"/>
  <c r="W144" i="24"/>
  <c r="W134" i="24"/>
  <c r="W103" i="24"/>
  <c r="W72" i="24"/>
  <c r="W70" i="24"/>
  <c r="W182" i="24"/>
  <c r="W154" i="24"/>
  <c r="W153" i="24"/>
  <c r="W149" i="24"/>
  <c r="W126" i="24"/>
  <c r="W90" i="24"/>
  <c r="W89" i="24"/>
  <c r="W62" i="24"/>
  <c r="S48" i="24"/>
  <c r="Z47" i="24"/>
  <c r="W158" i="24"/>
  <c r="W130" i="24"/>
  <c r="W94" i="24"/>
  <c r="W66" i="24"/>
  <c r="W112" i="24"/>
  <c r="W175" i="24"/>
  <c r="W167" i="24"/>
  <c r="E11" i="17"/>
  <c r="E21" i="17"/>
  <c r="AC22" i="25"/>
  <c r="V22" i="25"/>
  <c r="AB8" i="25"/>
  <c r="V11" i="25"/>
  <c r="Z43" i="24"/>
  <c r="Z41" i="24"/>
  <c r="Z32" i="24"/>
  <c r="Z33" i="24"/>
  <c r="W183" i="24"/>
  <c r="W179" i="24"/>
  <c r="W176" i="24"/>
  <c r="W171" i="24"/>
  <c r="W163" i="24"/>
  <c r="W159" i="24"/>
  <c r="W155" i="24"/>
  <c r="W151" i="24"/>
  <c r="W147" i="24"/>
  <c r="W145" i="24"/>
  <c r="W143" i="24"/>
  <c r="W141" i="24"/>
  <c r="W139" i="24"/>
  <c r="W135" i="24"/>
  <c r="W131" i="24"/>
  <c r="W124" i="24"/>
  <c r="W123" i="24"/>
  <c r="W120" i="24"/>
  <c r="W116" i="24"/>
  <c r="W108" i="24"/>
  <c r="W104" i="24"/>
  <c r="W100" i="24"/>
  <c r="W95" i="24"/>
  <c r="W91" i="24"/>
  <c r="W87" i="24"/>
  <c r="W81" i="24"/>
  <c r="W79" i="24"/>
  <c r="W77" i="24"/>
  <c r="W75" i="24"/>
  <c r="W71" i="24"/>
  <c r="W68" i="24"/>
  <c r="W67" i="24"/>
  <c r="W63" i="24"/>
  <c r="W59" i="24"/>
  <c r="Z39" i="24"/>
  <c r="W184" i="24"/>
  <c r="W172" i="24"/>
  <c r="W168" i="24"/>
  <c r="W164" i="24"/>
  <c r="W156" i="24"/>
  <c r="W152" i="24"/>
  <c r="W140" i="24"/>
  <c r="W136" i="24"/>
  <c r="W113" i="24"/>
  <c r="W109" i="24"/>
  <c r="W101" i="24"/>
  <c r="W96" i="24"/>
  <c r="W92" i="24"/>
  <c r="W88" i="24"/>
  <c r="W84" i="24"/>
  <c r="W80" i="24"/>
  <c r="S47" i="24"/>
  <c r="Z50" i="24"/>
  <c r="Z38" i="24"/>
  <c r="Z34" i="24"/>
  <c r="Z30" i="24"/>
  <c r="Z29" i="24"/>
  <c r="W177" i="24"/>
  <c r="W169" i="24"/>
  <c r="W165" i="24"/>
  <c r="W114" i="24"/>
  <c r="W110" i="24"/>
  <c r="W106" i="24"/>
  <c r="W102" i="24"/>
  <c r="W178" i="24"/>
  <c r="W174" i="24"/>
  <c r="W166" i="24"/>
  <c r="W150" i="24"/>
  <c r="W146" i="24"/>
  <c r="W142" i="24"/>
  <c r="W138" i="24"/>
  <c r="W119" i="24"/>
  <c r="W115" i="24"/>
  <c r="W111" i="24"/>
  <c r="W107" i="24"/>
  <c r="W86" i="24"/>
  <c r="W82" i="24"/>
  <c r="W78" i="24"/>
  <c r="W74" i="24"/>
  <c r="Z37" i="24"/>
  <c r="AB10" i="25"/>
  <c r="V17" i="25"/>
  <c r="Z53" i="24"/>
  <c r="Z40" i="24"/>
  <c r="Z36" i="24"/>
  <c r="Z46" i="24"/>
  <c r="Z42" i="24"/>
  <c r="Z45" i="24"/>
  <c r="S52" i="24"/>
  <c r="S51" i="24"/>
  <c r="Z48" i="24"/>
  <c r="W58" i="24"/>
  <c r="W181" i="24"/>
  <c r="W173" i="24"/>
  <c r="W161" i="24"/>
  <c r="W160" i="24"/>
  <c r="W157" i="24"/>
  <c r="W148" i="24"/>
  <c r="W137" i="24"/>
  <c r="W133" i="24"/>
  <c r="W132" i="24"/>
  <c r="W129" i="24"/>
  <c r="W125" i="24"/>
  <c r="W121" i="24"/>
  <c r="W118" i="24"/>
  <c r="W117" i="24"/>
  <c r="W97" i="24"/>
  <c r="W93" i="24"/>
  <c r="W76" i="24"/>
  <c r="W73" i="24"/>
  <c r="W69" i="24"/>
  <c r="W65" i="24"/>
  <c r="W64" i="24"/>
  <c r="W61" i="24"/>
  <c r="W60" i="24"/>
  <c r="Z52" i="24"/>
  <c r="Z44" i="24"/>
  <c r="Z49" i="24"/>
  <c r="Z51" i="24"/>
  <c r="C5" i="24" l="1"/>
  <c r="I5" i="24" s="1"/>
  <c r="C6" i="24"/>
  <c r="I6" i="24" s="1"/>
  <c r="C17" i="24"/>
  <c r="I17" i="24" s="1"/>
  <c r="C10" i="24"/>
  <c r="I10" i="24" s="1"/>
  <c r="C18" i="24"/>
  <c r="I18" i="24" s="1"/>
  <c r="C9" i="24"/>
  <c r="I9" i="24" s="1"/>
  <c r="C20" i="24"/>
  <c r="I20" i="24" s="1"/>
  <c r="C12" i="24"/>
  <c r="I12" i="24" s="1"/>
  <c r="C23" i="24"/>
  <c r="I23" i="24" s="1"/>
  <c r="C15" i="24"/>
  <c r="I15" i="24" s="1"/>
  <c r="C21" i="24"/>
  <c r="I21" i="24" s="1"/>
  <c r="C19" i="24"/>
  <c r="I19" i="24" s="1"/>
  <c r="C16" i="24"/>
  <c r="I16" i="24" s="1"/>
  <c r="C13" i="24"/>
  <c r="I13" i="24" s="1"/>
  <c r="C7" i="24"/>
  <c r="I7" i="24" s="1"/>
  <c r="C11" i="24"/>
  <c r="I11" i="24" s="1"/>
  <c r="C22" i="24"/>
  <c r="I22" i="24" s="1"/>
  <c r="C14" i="24"/>
  <c r="I14" i="24" s="1"/>
  <c r="C8" i="24"/>
  <c r="I8" i="24" s="1"/>
  <c r="J28" i="24"/>
  <c r="F4" i="24"/>
  <c r="I4" i="24" s="1"/>
  <c r="J15" i="11"/>
  <c r="I73" i="25" s="1"/>
  <c r="L87" i="25"/>
  <c r="L86" i="25"/>
  <c r="L84" i="25"/>
  <c r="L81" i="25"/>
  <c r="L74" i="25"/>
  <c r="L92" i="25"/>
  <c r="L83" i="25"/>
  <c r="L79" i="25"/>
  <c r="L78" i="25"/>
  <c r="L85" i="25"/>
  <c r="L80" i="25"/>
  <c r="G5" i="20"/>
  <c r="AB15" i="25"/>
  <c r="AB17" i="25"/>
  <c r="AB21" i="25"/>
  <c r="U6" i="25"/>
  <c r="C39" i="25"/>
  <c r="G13" i="25" s="1"/>
  <c r="U21" i="25"/>
  <c r="C32" i="25"/>
  <c r="G15" i="25" s="1"/>
  <c r="C35" i="25"/>
  <c r="G23" i="25" s="1"/>
  <c r="U11" i="25"/>
  <c r="C40" i="25"/>
  <c r="G10" i="25" s="1"/>
  <c r="C46" i="25"/>
  <c r="G22" i="25" s="1"/>
  <c r="C37" i="25"/>
  <c r="G6" i="25" s="1"/>
  <c r="U4" i="25"/>
  <c r="C42" i="25"/>
  <c r="G5" i="25" s="1"/>
  <c r="U8" i="25"/>
  <c r="C41" i="25"/>
  <c r="G17" i="25" s="1"/>
  <c r="U19" i="25"/>
  <c r="C31" i="25"/>
  <c r="G19" i="25" s="1"/>
  <c r="U9" i="25"/>
  <c r="C28" i="25"/>
  <c r="G7" i="25" s="1"/>
  <c r="U18" i="25"/>
  <c r="C33" i="25"/>
  <c r="G12" i="25" s="1"/>
  <c r="U13" i="25"/>
  <c r="C38" i="25"/>
  <c r="G11" i="25" s="1"/>
  <c r="C45" i="25"/>
  <c r="G14" i="25" s="1"/>
  <c r="U15" i="25"/>
  <c r="C34" i="25"/>
  <c r="G20" i="25" s="1"/>
  <c r="C43" i="25"/>
  <c r="G4" i="25" s="1"/>
  <c r="C29" i="25"/>
  <c r="G16" i="25" s="1"/>
  <c r="U14" i="25"/>
  <c r="J37" i="24"/>
  <c r="AD5" i="25"/>
  <c r="AC5" i="25"/>
  <c r="J29" i="24"/>
  <c r="J16" i="11" s="1"/>
  <c r="J30" i="24"/>
  <c r="J8" i="11" s="1"/>
  <c r="J38" i="24"/>
  <c r="J20" i="11" s="1"/>
  <c r="I87" i="25" s="1"/>
  <c r="J34" i="24"/>
  <c r="J22" i="11" s="1"/>
  <c r="AC9" i="25"/>
  <c r="U17" i="25"/>
  <c r="U12" i="25"/>
  <c r="U23" i="25"/>
  <c r="AD9" i="25"/>
  <c r="V9" i="25"/>
  <c r="V10" i="25"/>
  <c r="V21" i="25"/>
  <c r="U22" i="25"/>
  <c r="U5" i="25"/>
  <c r="U7" i="25"/>
  <c r="U10" i="25"/>
  <c r="J45" i="24"/>
  <c r="J39" i="24"/>
  <c r="J42" i="24"/>
  <c r="J13" i="11" s="1"/>
  <c r="I85" i="25" s="1"/>
  <c r="J52" i="24"/>
  <c r="J28" i="11" s="1"/>
  <c r="J43" i="24"/>
  <c r="J7" i="11" s="1"/>
  <c r="J36" i="24"/>
  <c r="J10" i="11" s="1"/>
  <c r="J53" i="24"/>
  <c r="J21" i="11" s="1"/>
  <c r="J47" i="24"/>
  <c r="J23" i="11" s="1"/>
  <c r="J32" i="24"/>
  <c r="J40" i="24"/>
  <c r="J12" i="11" s="1"/>
  <c r="J50" i="24"/>
  <c r="J26" i="11" s="1"/>
  <c r="J48" i="24"/>
  <c r="J33" i="24"/>
  <c r="J35" i="24"/>
  <c r="J19" i="11" s="1"/>
  <c r="J46" i="24"/>
  <c r="J14" i="11" s="1"/>
  <c r="J41" i="24"/>
  <c r="J5" i="11" s="1"/>
  <c r="J49" i="24"/>
  <c r="J25" i="11" s="1"/>
  <c r="J51" i="24"/>
  <c r="J27" i="11" s="1"/>
  <c r="J44" i="24"/>
  <c r="J4" i="11" s="1"/>
  <c r="J31" i="24"/>
  <c r="AA47" i="24"/>
  <c r="E7" i="17"/>
  <c r="E18" i="17"/>
  <c r="E12" i="17"/>
  <c r="E20" i="17"/>
  <c r="AD16" i="25"/>
  <c r="AC16" i="25"/>
  <c r="AC4" i="25"/>
  <c r="AD13" i="25"/>
  <c r="AC14" i="25"/>
  <c r="AC13" i="25"/>
  <c r="AB5" i="25"/>
  <c r="AD17" i="25"/>
  <c r="AD12" i="25"/>
  <c r="AC12" i="25"/>
  <c r="V15" i="25"/>
  <c r="AC19" i="25"/>
  <c r="AD10" i="25"/>
  <c r="AD7" i="25"/>
  <c r="AD8" i="25"/>
  <c r="AD11" i="25"/>
  <c r="AC8" i="25"/>
  <c r="AC17" i="25"/>
  <c r="AC18" i="25"/>
  <c r="AC11" i="25"/>
  <c r="AD15" i="25"/>
  <c r="V8" i="25"/>
  <c r="AC10" i="25"/>
  <c r="AC7" i="25"/>
  <c r="V23" i="25"/>
  <c r="AD4" i="25"/>
  <c r="AD20" i="25"/>
  <c r="AD22" i="25"/>
  <c r="AC6" i="25"/>
  <c r="AD21" i="25"/>
  <c r="AC20" i="25"/>
  <c r="AD6" i="25"/>
  <c r="AC21" i="25"/>
  <c r="AD18" i="25"/>
  <c r="E13" i="17"/>
  <c r="AB12" i="25"/>
  <c r="AB4" i="25"/>
  <c r="AB9" i="25"/>
  <c r="AB14" i="25"/>
  <c r="AB16" i="25"/>
  <c r="AB22" i="25"/>
  <c r="AB20" i="25"/>
  <c r="AB7" i="25"/>
  <c r="AB13" i="25"/>
  <c r="AB19" i="25"/>
  <c r="AB18" i="25"/>
  <c r="AB6" i="25"/>
  <c r="AB11" i="25"/>
  <c r="V20" i="25"/>
  <c r="V5" i="25"/>
  <c r="V4" i="25"/>
  <c r="V16" i="25"/>
  <c r="V7" i="25"/>
  <c r="V14" i="25"/>
  <c r="V18" i="25"/>
  <c r="V19" i="25"/>
  <c r="V13" i="25"/>
  <c r="V6" i="25"/>
  <c r="AA51" i="24"/>
  <c r="AA49" i="24"/>
  <c r="AA50" i="24"/>
  <c r="AA48" i="24"/>
  <c r="AA52" i="24"/>
  <c r="E17" i="17"/>
  <c r="E4" i="17"/>
  <c r="E3" i="17"/>
  <c r="E22" i="17"/>
  <c r="E6" i="17"/>
  <c r="E14" i="17"/>
  <c r="E15" i="17"/>
  <c r="E9" i="17"/>
  <c r="E16" i="17"/>
  <c r="E19" i="17"/>
  <c r="E8" i="17"/>
  <c r="E10" i="17"/>
  <c r="M35" i="14" l="1"/>
  <c r="N35" i="14" s="1" a="1"/>
  <c r="N35" i="14" s="1"/>
  <c r="F20" i="17"/>
  <c r="F11" i="17"/>
  <c r="M10" i="14"/>
  <c r="N10" i="14" s="1" a="1"/>
  <c r="N10" i="14" s="1"/>
  <c r="M9" i="14"/>
  <c r="N9" i="14" s="1" a="1"/>
  <c r="N9" i="14" s="1"/>
  <c r="F9" i="17"/>
  <c r="I9" i="17" s="1"/>
  <c r="M5" i="14"/>
  <c r="N5" i="14" s="1" a="1"/>
  <c r="N5" i="14" s="1"/>
  <c r="J86" i="25" s="1"/>
  <c r="F8" i="17"/>
  <c r="J11" i="11"/>
  <c r="I78" i="25" s="1"/>
  <c r="M33" i="14"/>
  <c r="N33" i="14" s="1" a="1"/>
  <c r="N33" i="14" s="1"/>
  <c r="F16" i="17"/>
  <c r="I16" i="17" s="1"/>
  <c r="M22" i="14"/>
  <c r="N22" i="14" s="1" a="1"/>
  <c r="N22" i="14" s="1"/>
  <c r="F14" i="17"/>
  <c r="M29" i="14"/>
  <c r="N29" i="14" s="1" a="1"/>
  <c r="N29" i="14" s="1"/>
  <c r="F13" i="17"/>
  <c r="M36" i="14"/>
  <c r="N36" i="14" s="1" a="1"/>
  <c r="N36" i="14" s="1"/>
  <c r="F4" i="17"/>
  <c r="M37" i="14"/>
  <c r="N37" i="14" s="1" a="1"/>
  <c r="N37" i="14" s="1"/>
  <c r="F12" i="17"/>
  <c r="M28" i="14"/>
  <c r="N28" i="14" s="1" a="1"/>
  <c r="N28" i="14" s="1"/>
  <c r="F6" i="17"/>
  <c r="J18" i="11"/>
  <c r="I77" i="25" s="1"/>
  <c r="J9" i="11"/>
  <c r="I76" i="25" s="1"/>
  <c r="J6" i="11"/>
  <c r="I88" i="25" s="1"/>
  <c r="M38" i="14"/>
  <c r="N38" i="14" s="1" a="1"/>
  <c r="N38" i="14" s="1"/>
  <c r="F22" i="17"/>
  <c r="G22" i="17" s="1"/>
  <c r="M20" i="14"/>
  <c r="N20" i="14" s="1" a="1"/>
  <c r="N20" i="14" s="1"/>
  <c r="F19" i="17"/>
  <c r="G19" i="17" s="1"/>
  <c r="M27" i="14"/>
  <c r="F5" i="17"/>
  <c r="G5" i="17" s="1"/>
  <c r="J24" i="11"/>
  <c r="M23" i="14"/>
  <c r="N23" i="14" s="1" a="1"/>
  <c r="N23" i="14" s="1"/>
  <c r="F17" i="17"/>
  <c r="I17" i="17" s="1"/>
  <c r="F7" i="17"/>
  <c r="M25" i="14"/>
  <c r="N25" i="14" s="1" a="1"/>
  <c r="N25" i="14" s="1"/>
  <c r="M30" i="14"/>
  <c r="N30" i="14" s="1" a="1"/>
  <c r="N30" i="14" s="1"/>
  <c r="F18" i="17"/>
  <c r="G18" i="17" s="1"/>
  <c r="K90" i="25" s="1"/>
  <c r="M4" i="14"/>
  <c r="F3" i="17"/>
  <c r="M8" i="14"/>
  <c r="N8" i="14" s="1" a="1"/>
  <c r="N8" i="14" s="1"/>
  <c r="F10" i="17"/>
  <c r="I10" i="17" s="1"/>
  <c r="M12" i="14"/>
  <c r="N12" i="14" s="1" a="1"/>
  <c r="N12" i="14" s="1"/>
  <c r="F15" i="17"/>
  <c r="I15" i="17" s="1"/>
  <c r="G20" i="17"/>
  <c r="G6" i="17"/>
  <c r="I89" i="25"/>
  <c r="I92" i="25"/>
  <c r="I83" i="25"/>
  <c r="F21" i="17"/>
  <c r="G21" i="17" s="1"/>
  <c r="K91" i="25" s="1"/>
  <c r="M11" i="14"/>
  <c r="N11" i="14" s="1" a="1"/>
  <c r="N11" i="14" s="1"/>
  <c r="J17" i="11"/>
  <c r="I84" i="25" s="1"/>
  <c r="J5" i="20"/>
  <c r="L5" i="20" s="1"/>
  <c r="L4" i="20" s="1"/>
  <c r="W12" i="25"/>
  <c r="W4" i="25"/>
  <c r="W21" i="25"/>
  <c r="I81" i="25"/>
  <c r="I79" i="25"/>
  <c r="I74" i="25"/>
  <c r="I86" i="25"/>
  <c r="W17" i="25"/>
  <c r="W22" i="25"/>
  <c r="W9" i="25"/>
  <c r="W10" i="25"/>
  <c r="W11" i="25"/>
  <c r="I91" i="25"/>
  <c r="I80" i="25"/>
  <c r="G14" i="17"/>
  <c r="G7" i="17"/>
  <c r="G3" i="17"/>
  <c r="G8" i="17"/>
  <c r="G4" i="17"/>
  <c r="G9" i="17"/>
  <c r="G16" i="17"/>
  <c r="G13" i="17"/>
  <c r="G12" i="17"/>
  <c r="W15" i="25"/>
  <c r="W8" i="25"/>
  <c r="W23" i="25"/>
  <c r="W19" i="25"/>
  <c r="W5" i="25"/>
  <c r="W13" i="25"/>
  <c r="W14" i="25"/>
  <c r="W16" i="25"/>
  <c r="W20" i="25"/>
  <c r="W6" i="25"/>
  <c r="W18" i="25"/>
  <c r="W7" i="25"/>
  <c r="G15" i="17" l="1"/>
  <c r="G17" i="17"/>
  <c r="I90" i="25"/>
  <c r="J76" i="25"/>
  <c r="I11" i="17"/>
  <c r="G11" i="17"/>
  <c r="K84" i="25" s="1"/>
  <c r="J82" i="25"/>
  <c r="J92" i="25"/>
  <c r="J75" i="25"/>
  <c r="J74" i="25"/>
  <c r="J81" i="25"/>
  <c r="J77" i="25"/>
  <c r="I82" i="25"/>
  <c r="J85" i="25"/>
  <c r="J79" i="25"/>
  <c r="I75" i="25"/>
  <c r="N4" i="14"/>
  <c r="O37" i="14" s="1"/>
  <c r="N27" i="14"/>
  <c r="J87" i="25"/>
  <c r="J83" i="25"/>
  <c r="G10" i="17"/>
  <c r="K22" i="17" s="1"/>
  <c r="J80" i="25"/>
  <c r="J90" i="25"/>
  <c r="J78" i="25"/>
  <c r="J91" i="25"/>
  <c r="J84" i="25"/>
  <c r="J73" i="25"/>
  <c r="K21" i="17"/>
  <c r="K11" i="17"/>
  <c r="J16" i="17"/>
  <c r="J15" i="17"/>
  <c r="K18" i="17"/>
  <c r="K13" i="17"/>
  <c r="J9" i="17"/>
  <c r="K19" i="17"/>
  <c r="J17" i="17"/>
  <c r="L76" i="25"/>
  <c r="L3" i="20"/>
  <c r="M7" i="20" s="1"/>
  <c r="K80" i="25"/>
  <c r="K85" i="25"/>
  <c r="K78" i="25"/>
  <c r="K77" i="25"/>
  <c r="K88" i="25"/>
  <c r="K81" i="25"/>
  <c r="K89" i="25"/>
  <c r="K75" i="25"/>
  <c r="K87" i="25"/>
  <c r="K82" i="25"/>
  <c r="K76" i="25"/>
  <c r="K86" i="25"/>
  <c r="K74" i="25"/>
  <c r="K83" i="25"/>
  <c r="K79" i="25"/>
  <c r="K92" i="25"/>
  <c r="K73" i="25"/>
  <c r="O10" i="14" l="1"/>
  <c r="O4" i="14"/>
  <c r="O29" i="14"/>
  <c r="O22" i="14"/>
  <c r="K6" i="17"/>
  <c r="K15" i="17"/>
  <c r="K5" i="17"/>
  <c r="O11" i="14"/>
  <c r="K9" i="17"/>
  <c r="K8" i="17"/>
  <c r="O23" i="14"/>
  <c r="O8" i="14"/>
  <c r="O38" i="14"/>
  <c r="O25" i="14"/>
  <c r="K20" i="17"/>
  <c r="K14" i="17"/>
  <c r="J10" i="17"/>
  <c r="O28" i="14"/>
  <c r="O36" i="14"/>
  <c r="O12" i="14"/>
  <c r="J11" i="17"/>
  <c r="K10" i="17"/>
  <c r="K12" i="17"/>
  <c r="O9" i="14"/>
  <c r="K4" i="17"/>
  <c r="K7" i="17"/>
  <c r="K16" i="17"/>
  <c r="O35" i="14"/>
  <c r="O30" i="14"/>
  <c r="O27" i="14"/>
  <c r="K3" i="17"/>
  <c r="K17" i="17"/>
  <c r="O5" i="14"/>
  <c r="O33" i="14"/>
  <c r="O20" i="14"/>
  <c r="M16" i="20"/>
  <c r="M6" i="20"/>
  <c r="M9" i="20"/>
  <c r="M15" i="20"/>
  <c r="M22" i="20"/>
  <c r="M10" i="20"/>
  <c r="M5" i="20"/>
  <c r="M18" i="20"/>
  <c r="M8" i="20"/>
  <c r="M19" i="20"/>
  <c r="M21" i="20"/>
  <c r="M14" i="20"/>
  <c r="M11" i="20"/>
  <c r="M20" i="20"/>
  <c r="M17" i="20"/>
  <c r="M12" i="20"/>
  <c r="M13" i="20"/>
  <c r="M3" i="20"/>
  <c r="M4" i="20"/>
  <c r="K64" i="25"/>
  <c r="O17" i="25" s="1"/>
  <c r="K69" i="25"/>
  <c r="O22" i="25" s="1"/>
  <c r="K55" i="25"/>
  <c r="O15" i="25" s="1"/>
  <c r="K52" i="25"/>
  <c r="O16" i="25" s="1"/>
  <c r="K56" i="25"/>
  <c r="O12" i="25" s="1"/>
  <c r="K62" i="25"/>
  <c r="O13" i="25" s="1"/>
  <c r="K50" i="25"/>
  <c r="O18" i="25" s="1"/>
  <c r="K61" i="25"/>
  <c r="O11" i="25" s="1"/>
  <c r="K68" i="25"/>
  <c r="O14" i="25" s="1"/>
  <c r="K60" i="25"/>
  <c r="O6" i="25" s="1"/>
  <c r="K58" i="25"/>
  <c r="O23" i="25" s="1"/>
  <c r="K57" i="25"/>
  <c r="O20" i="25" s="1"/>
  <c r="K67" i="25"/>
  <c r="O21" i="25" s="1"/>
  <c r="K66" i="25"/>
  <c r="O4" i="25" s="1"/>
  <c r="K51" i="25"/>
  <c r="O7" i="25" s="1"/>
  <c r="K65" i="25"/>
  <c r="O5" i="25" s="1"/>
  <c r="K53" i="25"/>
  <c r="O8" i="25" s="1"/>
  <c r="K54" i="25"/>
  <c r="O19" i="25" s="1"/>
  <c r="K63" i="25"/>
  <c r="O10" i="25" s="1"/>
  <c r="K59" i="25"/>
  <c r="O9" i="25" s="1"/>
  <c r="I59" i="25" l="1"/>
  <c r="L9" i="25" s="1"/>
  <c r="I67" i="25"/>
  <c r="I52" i="25"/>
  <c r="I57" i="25"/>
  <c r="I51" i="25"/>
  <c r="I53" i="25"/>
  <c r="I66" i="25"/>
  <c r="I69" i="25"/>
  <c r="I63" i="25"/>
  <c r="I68" i="25"/>
  <c r="I64" i="25"/>
  <c r="I58" i="25"/>
  <c r="I60" i="25"/>
  <c r="I61" i="25"/>
  <c r="I55" i="25"/>
  <c r="I56" i="25"/>
  <c r="L12" i="25" s="1"/>
  <c r="I54" i="25"/>
  <c r="I65" i="25"/>
  <c r="I50" i="25"/>
  <c r="I62" i="25"/>
  <c r="AM7" i="25"/>
  <c r="AM18" i="25"/>
  <c r="AM15" i="25"/>
  <c r="AM9" i="25"/>
  <c r="AM21" i="25"/>
  <c r="AM14" i="25"/>
  <c r="AM22" i="25"/>
  <c r="AM20" i="25"/>
  <c r="AM19" i="25"/>
  <c r="D32" i="25" l="1"/>
  <c r="M15" i="25" s="1"/>
  <c r="L15" i="25"/>
  <c r="D37" i="25"/>
  <c r="M6" i="25" s="1"/>
  <c r="L6" i="25"/>
  <c r="D28" i="25"/>
  <c r="M7" i="25" s="1"/>
  <c r="L7" i="25"/>
  <c r="D39" i="25"/>
  <c r="M13" i="25" s="1"/>
  <c r="L13" i="25"/>
  <c r="D27" i="25"/>
  <c r="M18" i="25" s="1"/>
  <c r="L18" i="25"/>
  <c r="D41" i="25"/>
  <c r="M17" i="25" s="1"/>
  <c r="L17" i="25"/>
  <c r="D29" i="25"/>
  <c r="M16" i="25" s="1"/>
  <c r="L16" i="25"/>
  <c r="D45" i="25"/>
  <c r="M14" i="25" s="1"/>
  <c r="L14" i="25"/>
  <c r="D38" i="25"/>
  <c r="M11" i="25" s="1"/>
  <c r="L11" i="25"/>
  <c r="D35" i="25"/>
  <c r="M23" i="25" s="1"/>
  <c r="L23" i="25"/>
  <c r="D34" i="25"/>
  <c r="M20" i="25" s="1"/>
  <c r="L20" i="25"/>
  <c r="D42" i="25"/>
  <c r="M5" i="25" s="1"/>
  <c r="L5" i="25"/>
  <c r="D31" i="25"/>
  <c r="M19" i="25" s="1"/>
  <c r="L19" i="25"/>
  <c r="D40" i="25"/>
  <c r="M10" i="25" s="1"/>
  <c r="L10" i="25"/>
  <c r="D44" i="25"/>
  <c r="M21" i="25" s="1"/>
  <c r="L21" i="25"/>
  <c r="D43" i="25"/>
  <c r="M4" i="25" s="1"/>
  <c r="L4" i="25"/>
  <c r="D30" i="25"/>
  <c r="M8" i="25" s="1"/>
  <c r="L8" i="25"/>
  <c r="D46" i="25"/>
  <c r="M22" i="25" s="1"/>
  <c r="L22" i="25"/>
  <c r="D33" i="25"/>
  <c r="M12" i="25" s="1"/>
  <c r="D36" i="25"/>
  <c r="M9" i="25" s="1"/>
  <c r="AE22" i="25"/>
  <c r="AE20" i="25"/>
  <c r="AE17" i="25"/>
  <c r="AE7" i="25"/>
  <c r="AE14" i="25"/>
  <c r="AE13" i="25"/>
  <c r="AE5" i="25"/>
  <c r="AE12" i="25"/>
  <c r="AE9" i="25"/>
  <c r="AE6" i="25"/>
  <c r="AE4" i="25"/>
  <c r="AF18" i="25"/>
  <c r="AF20" i="25"/>
  <c r="AF12" i="25"/>
  <c r="AM6" i="25"/>
  <c r="AM13" i="25"/>
  <c r="AM16" i="25"/>
  <c r="AM5" i="25"/>
  <c r="AM10" i="25"/>
  <c r="AM11" i="25"/>
  <c r="AM8" i="25"/>
  <c r="AM12" i="25"/>
  <c r="AM23" i="25"/>
  <c r="AM4" i="25"/>
  <c r="AM17" i="25"/>
  <c r="AE16" i="25"/>
  <c r="AE10" i="25"/>
  <c r="AE15" i="25" l="1"/>
  <c r="AE23" i="25"/>
  <c r="AE8" i="25"/>
  <c r="AG9" i="25"/>
  <c r="AE19" i="25"/>
  <c r="AG19" i="25"/>
  <c r="AE21" i="25"/>
  <c r="AE18" i="25"/>
  <c r="AE11" i="25"/>
  <c r="AF4" i="25"/>
  <c r="AF14" i="25"/>
  <c r="AF7" i="25"/>
  <c r="AG11" i="25"/>
  <c r="AF15" i="25"/>
  <c r="AF19" i="25"/>
  <c r="AG12" i="25"/>
  <c r="AF16" i="25"/>
  <c r="AF8" i="25"/>
  <c r="AF13" i="25"/>
  <c r="AF22" i="25"/>
  <c r="AG21" i="25"/>
  <c r="AF5" i="25"/>
  <c r="AF9" i="25"/>
  <c r="AF21" i="25"/>
  <c r="AF6" i="25"/>
  <c r="AF10" i="25"/>
  <c r="AF17" i="25"/>
  <c r="AF11" i="25"/>
  <c r="AG20" i="25"/>
  <c r="AF23" i="25"/>
  <c r="AG16" i="25"/>
  <c r="AG22" i="25"/>
  <c r="AG23" i="25" l="1"/>
  <c r="AG4" i="25"/>
  <c r="AG15" i="25"/>
  <c r="AG18" i="25"/>
  <c r="AG13" i="25"/>
  <c r="AG10" i="25"/>
  <c r="AG7" i="25"/>
  <c r="AG8" i="25"/>
  <c r="AG5" i="25"/>
  <c r="AG14" i="25"/>
  <c r="AG6" i="25"/>
  <c r="AG17" i="25"/>
  <c r="T127" i="24" l="1"/>
  <c r="W127" i="24" s="1"/>
  <c r="I127" i="24"/>
  <c r="L89" i="25" l="1"/>
  <c r="L88" i="25"/>
  <c r="L50" i="25" l="1"/>
  <c r="L67" i="25"/>
  <c r="L63" i="25"/>
  <c r="L66" i="25"/>
  <c r="L51" i="25"/>
  <c r="L62" i="25"/>
  <c r="L69" i="25"/>
  <c r="L53" i="25"/>
  <c r="L64" i="25"/>
  <c r="L68" i="25"/>
  <c r="L61" i="25"/>
  <c r="L55" i="25"/>
  <c r="L54" i="25"/>
  <c r="L59" i="25"/>
  <c r="L60" i="25"/>
  <c r="L58" i="25"/>
  <c r="L52" i="25"/>
  <c r="L57" i="25"/>
  <c r="L65" i="25"/>
  <c r="L56" i="25"/>
  <c r="AN19" i="25" l="1"/>
  <c r="P21" i="25"/>
  <c r="AN21" i="25"/>
  <c r="P22" i="25"/>
  <c r="P9" i="25"/>
  <c r="AN15" i="25"/>
  <c r="P13" i="25"/>
  <c r="AN14" i="25"/>
  <c r="AN22" i="25"/>
  <c r="P18" i="25"/>
  <c r="P19" i="25"/>
  <c r="AN17" i="25"/>
  <c r="AN11" i="25"/>
  <c r="P7" i="25"/>
  <c r="AN4" i="25"/>
  <c r="P4" i="25"/>
  <c r="P10" i="25"/>
  <c r="AN8" i="25"/>
  <c r="AN6" i="25"/>
  <c r="P12" i="25"/>
  <c r="AN10" i="25"/>
  <c r="P11" i="25"/>
  <c r="P15" i="25"/>
  <c r="AN12" i="25"/>
  <c r="P20" i="25"/>
  <c r="AN18" i="25"/>
  <c r="P16" i="25"/>
  <c r="AN20" i="25"/>
  <c r="P14" i="25"/>
  <c r="AN16" i="25"/>
  <c r="AN23" i="25"/>
  <c r="P23" i="25"/>
  <c r="AN13" i="25"/>
  <c r="P17" i="25"/>
  <c r="AN5" i="25"/>
  <c r="P5" i="25"/>
  <c r="P6" i="25"/>
  <c r="AN9" i="25"/>
  <c r="AN7" i="25"/>
  <c r="P8" i="25"/>
  <c r="J89" i="25" l="1"/>
  <c r="J88" i="25" l="1"/>
  <c r="J60" i="25" s="1"/>
  <c r="E37" i="25" s="1"/>
  <c r="F37" i="25" s="1"/>
  <c r="C6" i="25" s="1"/>
  <c r="J58" i="25" l="1"/>
  <c r="J55" i="25"/>
  <c r="AL9" i="25"/>
  <c r="N6" i="25"/>
  <c r="J65" i="25"/>
  <c r="E42" i="25" s="1"/>
  <c r="F42" i="25" s="1"/>
  <c r="C5" i="25" s="1"/>
  <c r="J51" i="25"/>
  <c r="AL11" i="25" s="1"/>
  <c r="J50" i="25"/>
  <c r="AL22" i="25" s="1"/>
  <c r="J53" i="25"/>
  <c r="AL7" i="25" s="1"/>
  <c r="J69" i="25"/>
  <c r="E46" i="25" s="1"/>
  <c r="F46" i="25" s="1"/>
  <c r="C22" i="25" s="1"/>
  <c r="J63" i="25"/>
  <c r="N10" i="25" s="1"/>
  <c r="J62" i="25"/>
  <c r="N13" i="25" s="1"/>
  <c r="J61" i="25"/>
  <c r="E38" i="25" s="1"/>
  <c r="F38" i="25" s="1"/>
  <c r="C11" i="25" s="1"/>
  <c r="J56" i="25"/>
  <c r="E33" i="25" s="1"/>
  <c r="F33" i="25" s="1"/>
  <c r="C12" i="25" s="1"/>
  <c r="J54" i="25"/>
  <c r="E31" i="25" s="1"/>
  <c r="F31" i="25" s="1"/>
  <c r="C19" i="25" s="1"/>
  <c r="J67" i="25"/>
  <c r="E44" i="25" s="1"/>
  <c r="F44" i="25" s="1"/>
  <c r="C21" i="25" s="1"/>
  <c r="J59" i="25"/>
  <c r="E36" i="25" s="1"/>
  <c r="F36" i="25" s="1"/>
  <c r="C9" i="25" s="1"/>
  <c r="J68" i="25"/>
  <c r="E45" i="25" s="1"/>
  <c r="F45" i="25" s="1"/>
  <c r="C14" i="25" s="1"/>
  <c r="J52" i="25"/>
  <c r="E29" i="25" s="1"/>
  <c r="F29" i="25" s="1"/>
  <c r="C16" i="25" s="1"/>
  <c r="J57" i="25"/>
  <c r="N20" i="25" s="1"/>
  <c r="J64" i="25"/>
  <c r="E41" i="25" s="1"/>
  <c r="F41" i="25" s="1"/>
  <c r="C17" i="25" s="1"/>
  <c r="J66" i="25"/>
  <c r="AL17" i="25"/>
  <c r="E32" i="25"/>
  <c r="F32" i="25" s="1"/>
  <c r="C15" i="25" s="1"/>
  <c r="N15" i="25"/>
  <c r="AL12" i="25"/>
  <c r="N23" i="25"/>
  <c r="AL23" i="25"/>
  <c r="E35" i="25"/>
  <c r="F35" i="25" s="1"/>
  <c r="C23" i="25" s="1"/>
  <c r="AL21" i="25"/>
  <c r="Q6" i="25"/>
  <c r="AO9" i="25"/>
  <c r="N19" i="25" l="1"/>
  <c r="N7" i="25"/>
  <c r="AL10" i="25"/>
  <c r="N17" i="25"/>
  <c r="N11" i="25"/>
  <c r="AL13" i="25"/>
  <c r="AL18" i="25"/>
  <c r="AL20" i="25"/>
  <c r="AL14" i="25"/>
  <c r="E28" i="25"/>
  <c r="E39" i="25"/>
  <c r="N18" i="25"/>
  <c r="AL8" i="25"/>
  <c r="N8" i="25"/>
  <c r="N9" i="25"/>
  <c r="N14" i="25"/>
  <c r="N22" i="25"/>
  <c r="N5" i="25"/>
  <c r="AL5" i="25"/>
  <c r="AL15" i="25"/>
  <c r="E30" i="25"/>
  <c r="E40" i="25"/>
  <c r="E27" i="25"/>
  <c r="E34" i="25"/>
  <c r="AL16" i="25"/>
  <c r="AL19" i="25"/>
  <c r="AL6" i="25"/>
  <c r="N21" i="25"/>
  <c r="N12" i="25"/>
  <c r="N16" i="25"/>
  <c r="E43" i="25"/>
  <c r="F43" i="25" s="1"/>
  <c r="C4" i="25" s="1"/>
  <c r="AL4" i="25"/>
  <c r="N4" i="25"/>
  <c r="Q9" i="25"/>
  <c r="AO15" i="25"/>
  <c r="AO12" i="25"/>
  <c r="Q15" i="25"/>
  <c r="Q21" i="25"/>
  <c r="AO19" i="25"/>
  <c r="AO21" i="25"/>
  <c r="Q22" i="25"/>
  <c r="AO13" i="25"/>
  <c r="Q17" i="25"/>
  <c r="AO23" i="25"/>
  <c r="Q23" i="25"/>
  <c r="Q12" i="25"/>
  <c r="AO6" i="25"/>
  <c r="AO20" i="25"/>
  <c r="Q16" i="25"/>
  <c r="AO5" i="25"/>
  <c r="Q5" i="25"/>
  <c r="AO10" i="25"/>
  <c r="Q11" i="25"/>
  <c r="Q14" i="25"/>
  <c r="AO16" i="25"/>
  <c r="Q19" i="25"/>
  <c r="AO17" i="25"/>
  <c r="AO18" i="25" l="1"/>
  <c r="F34" i="25"/>
  <c r="C20" i="25" s="1"/>
  <c r="Q18" i="25"/>
  <c r="F27" i="25"/>
  <c r="C18" i="25" s="1"/>
  <c r="Q10" i="25"/>
  <c r="F40" i="25"/>
  <c r="C10" i="25" s="1"/>
  <c r="Q8" i="25"/>
  <c r="F30" i="25"/>
  <c r="C8" i="25" s="1"/>
  <c r="AO14" i="25"/>
  <c r="F39" i="25"/>
  <c r="C13" i="25" s="1"/>
  <c r="AO11" i="25"/>
  <c r="F28" i="25"/>
  <c r="C7" i="25" s="1"/>
  <c r="AO22" i="25"/>
  <c r="Q20" i="25"/>
  <c r="Q13" i="25"/>
  <c r="Q7" i="25"/>
  <c r="AO8" i="25"/>
  <c r="AO7" i="25"/>
  <c r="Q4" i="25"/>
  <c r="AO4"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<sst xmlns="http://schemas.openxmlformats.org/spreadsheetml/2006/main" count="1592" uniqueCount="535">
  <si>
    <t>Tab</t>
    <phoneticPr fontId="3" type="noConversion"/>
  </si>
  <si>
    <t>Description</t>
    <phoneticPr fontId="3" type="noConversion"/>
  </si>
  <si>
    <t>Summary</t>
    <phoneticPr fontId="3" type="noConversion"/>
  </si>
  <si>
    <t>Global sales</t>
    <phoneticPr fontId="3" type="noConversion"/>
  </si>
  <si>
    <t>Renewable energy</t>
    <phoneticPr fontId="3" type="noConversion"/>
  </si>
  <si>
    <t>Battery recycling</t>
    <phoneticPr fontId="3" type="noConversion"/>
  </si>
  <si>
    <t xml:space="preserve">The tab provides the scoring to evaluate manufacturers' efforts in battery recycling and repurposing across the six markets. </t>
    <phoneticPr fontId="3" type="noConversion"/>
  </si>
  <si>
    <t>ZEV target</t>
    <phoneticPr fontId="3" type="noConversion"/>
  </si>
  <si>
    <t>OEM</t>
    <phoneticPr fontId="3" type="noConversion"/>
  </si>
  <si>
    <t>2023 Rating</t>
    <phoneticPr fontId="3" type="noConversion"/>
  </si>
  <si>
    <t>Name matching</t>
    <phoneticPr fontId="3" type="noConversion"/>
  </si>
  <si>
    <t>2022 rating</t>
    <phoneticPr fontId="3" type="noConversion"/>
  </si>
  <si>
    <t>Market dominance</t>
    <phoneticPr fontId="3" type="noConversion"/>
  </si>
  <si>
    <t>Technology performance</t>
    <phoneticPr fontId="3" type="noConversion"/>
  </si>
  <si>
    <t>Strategic vision</t>
    <phoneticPr fontId="3" type="noConversion"/>
  </si>
  <si>
    <t>Toyota</t>
  </si>
  <si>
    <t>BYD</t>
  </si>
  <si>
    <t>Tesla</t>
  </si>
  <si>
    <t>Leaders</t>
    <phoneticPr fontId="3" type="noConversion"/>
  </si>
  <si>
    <t>ZEVe sales share</t>
    <phoneticPr fontId="3" type="noConversion"/>
  </si>
  <si>
    <t>ZEV class coverage</t>
    <phoneticPr fontId="3" type="noConversion"/>
  </si>
  <si>
    <t>Pillar score</t>
    <phoneticPr fontId="3" type="noConversion"/>
  </si>
  <si>
    <t>Energy consumption</t>
    <phoneticPr fontId="3" type="noConversion"/>
  </si>
  <si>
    <t>Charging speed</t>
  </si>
  <si>
    <t>Driving range</t>
  </si>
  <si>
    <t>Renewable energy</t>
  </si>
  <si>
    <t>Battery recycle/reuse</t>
    <phoneticPr fontId="3" type="noConversion"/>
  </si>
  <si>
    <t>ZEV target</t>
  </si>
  <si>
    <t>ZEV investment</t>
    <phoneticPr fontId="3" type="noConversion"/>
  </si>
  <si>
    <t>Executive compensation</t>
  </si>
  <si>
    <t>ZEV-equivalent 
 sales share (0-100)</t>
    <phoneticPr fontId="3" type="noConversion"/>
  </si>
  <si>
    <t>Class coverage
(0-100)</t>
    <phoneticPr fontId="3" type="noConversion"/>
  </si>
  <si>
    <t>Pillar score
(0-100)</t>
    <phoneticPr fontId="3" type="noConversion"/>
  </si>
  <si>
    <t>Energy consumption 
(0-100)</t>
    <phoneticPr fontId="3" type="noConversion"/>
  </si>
  <si>
    <t>Charging speed
(0-100)</t>
    <phoneticPr fontId="3" type="noConversion"/>
  </si>
  <si>
    <t>Driving range
(0-100)</t>
    <phoneticPr fontId="3" type="noConversion"/>
  </si>
  <si>
    <t>Renewable energy
(0-100)</t>
    <phoneticPr fontId="3" type="noConversion"/>
  </si>
  <si>
    <t>Battery recycle/repurpose
(0-100)</t>
    <phoneticPr fontId="3" type="noConversion"/>
  </si>
  <si>
    <t>ZEV target
(0-100)</t>
    <phoneticPr fontId="3" type="noConversion"/>
  </si>
  <si>
    <t>ZEV investment
(0-100)</t>
    <phoneticPr fontId="3" type="noConversion"/>
  </si>
  <si>
    <t>Executive compensation
(0-100)</t>
    <phoneticPr fontId="3" type="noConversion"/>
  </si>
  <si>
    <t>VW</t>
  </si>
  <si>
    <t>Tesla</t>
    <phoneticPr fontId="3" type="noConversion"/>
  </si>
  <si>
    <t>BMW</t>
  </si>
  <si>
    <t>Hyundai Kia</t>
  </si>
  <si>
    <t>SAIC</t>
  </si>
  <si>
    <t>Renault</t>
  </si>
  <si>
    <t>Transitioners</t>
    <phoneticPr fontId="3" type="noConversion"/>
  </si>
  <si>
    <t>Stellantis</t>
  </si>
  <si>
    <t>Geely</t>
  </si>
  <si>
    <t>Mercedes-Benz</t>
  </si>
  <si>
    <t>Honda</t>
  </si>
  <si>
    <t>GM</t>
  </si>
  <si>
    <t>Changan</t>
  </si>
  <si>
    <t>Ford</t>
  </si>
  <si>
    <t>Nissan</t>
  </si>
  <si>
    <t>Chang'an</t>
    <phoneticPr fontId="3" type="noConversion"/>
  </si>
  <si>
    <t>Suzuki</t>
  </si>
  <si>
    <t>Great Wall</t>
  </si>
  <si>
    <t>Tata Motors</t>
  </si>
  <si>
    <t>Laggards</t>
    <phoneticPr fontId="3" type="noConversion"/>
  </si>
  <si>
    <t>Hyundai-Kia</t>
    <phoneticPr fontId="3" type="noConversion"/>
  </si>
  <si>
    <t>Tata</t>
    <phoneticPr fontId="3" type="noConversion"/>
  </si>
  <si>
    <t>Mazda</t>
  </si>
  <si>
    <t>N/A</t>
    <phoneticPr fontId="3" type="noConversion"/>
  </si>
  <si>
    <t>Class coverage</t>
    <phoneticPr fontId="3" type="noConversion"/>
  </si>
  <si>
    <t>Charging speed</t>
    <phoneticPr fontId="3" type="noConversion"/>
  </si>
  <si>
    <t>Driving range</t>
    <phoneticPr fontId="3" type="noConversion"/>
  </si>
  <si>
    <t>Executive compensation</t>
    <phoneticPr fontId="3" type="noConversion"/>
  </si>
  <si>
    <t>Class coverage</t>
  </si>
  <si>
    <t>Hyundai (B)</t>
    <phoneticPr fontId="3" type="noConversion"/>
  </si>
  <si>
    <t>Kia (B)</t>
    <phoneticPr fontId="3" type="noConversion"/>
  </si>
  <si>
    <t>Geely (B)</t>
    <phoneticPr fontId="3" type="noConversion"/>
  </si>
  <si>
    <t>Volvo cars (B)</t>
    <phoneticPr fontId="3" type="noConversion"/>
  </si>
  <si>
    <t>Tata (B)</t>
    <phoneticPr fontId="3" type="noConversion"/>
  </si>
  <si>
    <t>JLR (B)</t>
    <phoneticPr fontId="3" type="noConversion"/>
  </si>
  <si>
    <t>OEM</t>
  </si>
  <si>
    <t>China</t>
  </si>
  <si>
    <t>Europe</t>
  </si>
  <si>
    <t>USA</t>
  </si>
  <si>
    <t>Japan</t>
  </si>
  <si>
    <t>India</t>
  </si>
  <si>
    <t>Korea</t>
  </si>
  <si>
    <t>Grand Total</t>
  </si>
  <si>
    <t>Hyundai Kia</t>
    <phoneticPr fontId="3" type="noConversion"/>
  </si>
  <si>
    <t>Ford</t>
    <phoneticPr fontId="3" type="noConversion"/>
  </si>
  <si>
    <t>Tata Motors</t>
    <phoneticPr fontId="3" type="noConversion"/>
  </si>
  <si>
    <t>Great Wall</t>
    <phoneticPr fontId="3" type="noConversion"/>
  </si>
  <si>
    <t>Mazda</t>
    <phoneticPr fontId="3" type="noConversion"/>
  </si>
  <si>
    <t>LDV</t>
    <phoneticPr fontId="3" type="noConversion"/>
  </si>
  <si>
    <t>PV</t>
    <phoneticPr fontId="3" type="noConversion"/>
  </si>
  <si>
    <t>LCV</t>
    <phoneticPr fontId="3" type="noConversion"/>
  </si>
  <si>
    <t>OEM</t>
    <phoneticPr fontId="4" type="noConversion"/>
  </si>
  <si>
    <t>Brand</t>
    <phoneticPr fontId="3" type="noConversion"/>
  </si>
  <si>
    <t>China</t>
    <phoneticPr fontId="3" type="noConversion"/>
  </si>
  <si>
    <t>Europe</t>
    <phoneticPr fontId="3" type="noConversion"/>
  </si>
  <si>
    <t>US</t>
    <phoneticPr fontId="3" type="noConversion"/>
  </si>
  <si>
    <t>Japan</t>
    <phoneticPr fontId="3" type="noConversion"/>
  </si>
  <si>
    <t>India</t>
    <phoneticPr fontId="3" type="noConversion"/>
  </si>
  <si>
    <t>Korea</t>
    <phoneticPr fontId="3" type="noConversion"/>
  </si>
  <si>
    <t>Total</t>
    <phoneticPr fontId="3" type="noConversion"/>
  </si>
  <si>
    <t>%share</t>
    <phoneticPr fontId="4" type="noConversion"/>
  </si>
  <si>
    <t>BMW (B)</t>
    <phoneticPr fontId="3" type="noConversion"/>
  </si>
  <si>
    <t>MINI</t>
  </si>
  <si>
    <t>Rolls-Royce</t>
  </si>
  <si>
    <t>BYD (B)</t>
    <phoneticPr fontId="3" type="noConversion"/>
  </si>
  <si>
    <t>BYD (Other)</t>
  </si>
  <si>
    <t>Denza</t>
  </si>
  <si>
    <t>Avita</t>
  </si>
  <si>
    <t>Changan (B)</t>
    <phoneticPr fontId="3" type="noConversion"/>
  </si>
  <si>
    <t>Deepal</t>
  </si>
  <si>
    <t>Oushang</t>
  </si>
  <si>
    <t>Ford (B)</t>
    <phoneticPr fontId="3" type="noConversion"/>
  </si>
  <si>
    <t>Lincoln</t>
  </si>
  <si>
    <t>Englon/Emgrand</t>
  </si>
  <si>
    <t>Geely Sichuan Commercial Vehicle</t>
  </si>
  <si>
    <t>Jiangxi Geely New Energy Commercial Vehicles</t>
  </si>
  <si>
    <t>Geometry</t>
  </si>
  <si>
    <t>LEVC</t>
  </si>
  <si>
    <t>Livan</t>
  </si>
  <si>
    <t>Lotus</t>
  </si>
  <si>
    <t>LYNK &amp; CO</t>
  </si>
  <si>
    <t>Maple</t>
  </si>
  <si>
    <t>Ouling</t>
  </si>
  <si>
    <t>Polestar</t>
  </si>
  <si>
    <t>Yuancheng</t>
  </si>
  <si>
    <t>ZD</t>
  </si>
  <si>
    <t>Zeekr</t>
  </si>
  <si>
    <t>Buick</t>
  </si>
  <si>
    <t>BrightDrop</t>
  </si>
  <si>
    <t>Cadillac</t>
  </si>
  <si>
    <t>Chevrolet</t>
  </si>
  <si>
    <t>GM (B)</t>
    <phoneticPr fontId="3" type="noConversion"/>
  </si>
  <si>
    <t>GMC</t>
  </si>
  <si>
    <t>Haval</t>
  </si>
  <si>
    <t>Ora</t>
  </si>
  <si>
    <t>Tank</t>
  </si>
  <si>
    <t>Wey</t>
  </si>
  <si>
    <t>Acura</t>
  </si>
  <si>
    <t>Honda (B)</t>
    <phoneticPr fontId="3" type="noConversion"/>
  </si>
  <si>
    <t>PSA</t>
  </si>
  <si>
    <t>Genesis</t>
  </si>
  <si>
    <t>Mercedes-Benz (B)</t>
    <phoneticPr fontId="3" type="noConversion"/>
  </si>
  <si>
    <t>Mercedes-Maybach</t>
  </si>
  <si>
    <t>Smart</t>
  </si>
  <si>
    <t>Datsun</t>
  </si>
  <si>
    <t>Infiniti</t>
  </si>
  <si>
    <t>Nissan (B)</t>
    <phoneticPr fontId="3" type="noConversion"/>
  </si>
  <si>
    <t>Alpine</t>
  </si>
  <si>
    <t>Dacia</t>
  </si>
  <si>
    <t>Ezoom</t>
  </si>
  <si>
    <t>Lada</t>
  </si>
  <si>
    <t>Mobilize</t>
  </si>
  <si>
    <t>Renault (B)</t>
    <phoneticPr fontId="3" type="noConversion"/>
  </si>
  <si>
    <t>Renault Korea</t>
  </si>
  <si>
    <t>Baojun</t>
  </si>
  <si>
    <t>Clever</t>
  </si>
  <si>
    <t>Hongyan</t>
  </si>
  <si>
    <t>IM Motors</t>
  </si>
  <si>
    <t>Maxus</t>
  </si>
  <si>
    <t>MG</t>
  </si>
  <si>
    <t>R Auto/Rising Auto</t>
  </si>
  <si>
    <t>Roewe</t>
  </si>
  <si>
    <t>Wuling (SAIC)</t>
  </si>
  <si>
    <t>Yuejin</t>
  </si>
  <si>
    <t>Abarth</t>
  </si>
  <si>
    <t>Alfa Romeo</t>
  </si>
  <si>
    <t>Chrysler</t>
  </si>
  <si>
    <t>Citroen</t>
  </si>
  <si>
    <t>Dodge</t>
  </si>
  <si>
    <t>DS</t>
  </si>
  <si>
    <t>FCA</t>
  </si>
  <si>
    <t>Fiat</t>
  </si>
  <si>
    <t>Fukang</t>
  </si>
  <si>
    <t>Jeep</t>
  </si>
  <si>
    <t>Lancia</t>
  </si>
  <si>
    <t>Maserati</t>
  </si>
  <si>
    <t>Opel/Vauxhall</t>
  </si>
  <si>
    <t>Peugeot</t>
  </si>
  <si>
    <t>Ram</t>
  </si>
  <si>
    <t>Maruti</t>
  </si>
  <si>
    <t>Suzuki (B)</t>
    <phoneticPr fontId="3" type="noConversion"/>
  </si>
  <si>
    <t>Jaguar</t>
  </si>
  <si>
    <t>Land Rover</t>
  </si>
  <si>
    <t>Tata/Daewoo</t>
  </si>
  <si>
    <t>Daihatsu</t>
  </si>
  <si>
    <t>Hino</t>
  </si>
  <si>
    <t>Lexus</t>
  </si>
  <si>
    <t>Toyota (B)</t>
    <phoneticPr fontId="3" type="noConversion"/>
  </si>
  <si>
    <t>Audi</t>
  </si>
  <si>
    <t>Bentley</t>
  </si>
  <si>
    <t>Bugatti</t>
  </si>
  <si>
    <t>Cupra</t>
  </si>
  <si>
    <t>International</t>
  </si>
  <si>
    <t>Jetta</t>
  </si>
  <si>
    <t>Lamborghini</t>
  </si>
  <si>
    <t>MAN</t>
  </si>
  <si>
    <t>Neoplan</t>
  </si>
  <si>
    <t>Porsche</t>
  </si>
  <si>
    <t>Scania</t>
  </si>
  <si>
    <t>SEAT</t>
  </si>
  <si>
    <t>Skoda</t>
  </si>
  <si>
    <t>VW (B)</t>
    <phoneticPr fontId="3" type="noConversion"/>
  </si>
  <si>
    <t>Kia (B)</t>
  </si>
  <si>
    <t>Great Wall (B)</t>
  </si>
  <si>
    <t>Geely (B)</t>
  </si>
  <si>
    <t>No</t>
    <phoneticPr fontId="3" type="noConversion"/>
  </si>
  <si>
    <t>Hyundai (B)</t>
  </si>
  <si>
    <t>Volvo cars (B)</t>
  </si>
  <si>
    <t>JLR (B)</t>
  </si>
  <si>
    <t>Score</t>
    <phoneticPr fontId="3" type="noConversion"/>
  </si>
  <si>
    <t>US</t>
  </si>
  <si>
    <t>Yes</t>
    <phoneticPr fontId="3" type="noConversion"/>
  </si>
  <si>
    <t>Total market coverage</t>
    <phoneticPr fontId="3" type="noConversion"/>
  </si>
  <si>
    <t>Toyota</t>
    <phoneticPr fontId="3" type="noConversion"/>
  </si>
  <si>
    <t>Source link</t>
    <phoneticPr fontId="4" type="noConversion"/>
  </si>
  <si>
    <t>VW</t>
    <phoneticPr fontId="3" type="noConversion"/>
  </si>
  <si>
    <t>VW</t>
    <phoneticPr fontId="4" type="noConversion"/>
  </si>
  <si>
    <t>Toyota</t>
    <phoneticPr fontId="4" type="noConversion"/>
  </si>
  <si>
    <t>ZEV</t>
    <phoneticPr fontId="3" type="noConversion"/>
  </si>
  <si>
    <t>https://global.toyota/en/newsroom/corporate/36428993.html</t>
  </si>
  <si>
    <t>ZEV</t>
  </si>
  <si>
    <t>Changan</t>
    <phoneticPr fontId="3" type="noConversion"/>
  </si>
  <si>
    <t>Stellantis</t>
    <phoneticPr fontId="4" type="noConversion"/>
  </si>
  <si>
    <t>https://www.stellantis.com/content/dam/stellantis-corporate/investors/events/strategic-plan-2030/2022_03_01_Strategic_Plan.pdf</t>
  </si>
  <si>
    <t>GM</t>
    <phoneticPr fontId="4" type="noConversion"/>
  </si>
  <si>
    <t>https://cop26transportdeclaration.org/en/#fulldeclaration</t>
  </si>
  <si>
    <t>Honda</t>
    <phoneticPr fontId="4" type="noConversion"/>
  </si>
  <si>
    <t>Ford</t>
    <phoneticPr fontId="4" type="noConversion"/>
  </si>
  <si>
    <t>Mercedes-Benz</t>
    <phoneticPr fontId="4" type="noConversion"/>
  </si>
  <si>
    <t>SAIC</t>
    <phoneticPr fontId="3" type="noConversion"/>
  </si>
  <si>
    <t>SAIC</t>
    <phoneticPr fontId="4" type="noConversion"/>
  </si>
  <si>
    <t>BMW</t>
    <phoneticPr fontId="3" type="noConversion"/>
  </si>
  <si>
    <t>https://www.electrive.com/2022/03/16/bmw-aims-to-sell-over-2-million-bevs-by-the-end-of-2025/</t>
  </si>
  <si>
    <t>BMW</t>
    <phoneticPr fontId="4" type="noConversion"/>
  </si>
  <si>
    <t>PHEV adjustment factor</t>
    <phoneticPr fontId="3" type="noConversion"/>
  </si>
  <si>
    <t>BYD</t>
    <phoneticPr fontId="3" type="noConversion"/>
  </si>
  <si>
    <t>BYD</t>
    <phoneticPr fontId="4" type="noConversion"/>
  </si>
  <si>
    <t>Tesla</t>
    <phoneticPr fontId="4" type="noConversion"/>
  </si>
  <si>
    <t>Nissan</t>
    <phoneticPr fontId="4" type="noConversion"/>
  </si>
  <si>
    <t>https://global.nissannews.com/en/releases/nissan-ambition-2030-vision-to-empower-mobility-beyond</t>
  </si>
  <si>
    <t>Geely</t>
    <phoneticPr fontId="3" type="noConversion"/>
  </si>
  <si>
    <t>Renault</t>
    <phoneticPr fontId="4" type="noConversion"/>
  </si>
  <si>
    <t>Nissan</t>
    <phoneticPr fontId="3" type="noConversion"/>
  </si>
  <si>
    <t>Hyundai Kia</t>
    <phoneticPr fontId="4" type="noConversion"/>
  </si>
  <si>
    <t>https://insideevs.com/news/571125/hyundai-accelerated-electrification-strategy/?adv=0</t>
  </si>
  <si>
    <t>Geely</t>
    <phoneticPr fontId="4" type="noConversion"/>
  </si>
  <si>
    <t>https://www.tatamotors.com/wp-content/uploads/2022/06/annual-report-2021-22.pdf</t>
  </si>
  <si>
    <t>Honda</t>
    <phoneticPr fontId="3" type="noConversion"/>
  </si>
  <si>
    <t xml:space="preserve">Total investment (2022 USD) </t>
    <phoneticPr fontId="4" type="noConversion"/>
  </si>
  <si>
    <t>PHEV</t>
  </si>
  <si>
    <t>ZEVe</t>
  </si>
  <si>
    <t>GM</t>
    <phoneticPr fontId="3" type="noConversion"/>
  </si>
  <si>
    <t>Stellantis</t>
    <phoneticPr fontId="3" type="noConversion"/>
  </si>
  <si>
    <t>??</t>
  </si>
  <si>
    <t>Company Name</t>
  </si>
  <si>
    <t>% long-term</t>
    <phoneticPr fontId="3" type="noConversion"/>
  </si>
  <si>
    <t>EV%</t>
    <phoneticPr fontId="3" type="noConversion"/>
  </si>
  <si>
    <t>Great Wall</t>
    <phoneticPr fontId="4" type="noConversion"/>
  </si>
  <si>
    <t>Changan</t>
    <phoneticPr fontId="4" type="noConversion"/>
  </si>
  <si>
    <t>Mazda</t>
    <phoneticPr fontId="4" type="noConversion"/>
  </si>
  <si>
    <t>Suzuki</t>
    <phoneticPr fontId="4" type="noConversion"/>
  </si>
  <si>
    <t>Company</t>
  </si>
  <si>
    <t>Base Salary</t>
  </si>
  <si>
    <t>Short-Term Incentives</t>
  </si>
  <si>
    <t>Long-Term Equity</t>
  </si>
  <si>
    <t>Renault</t>
    <phoneticPr fontId="3" type="noConversion"/>
  </si>
  <si>
    <t>% Fix/Based salary</t>
    <phoneticPr fontId="3" type="noConversion"/>
  </si>
  <si>
    <t>% short-term</t>
    <phoneticPr fontId="3" type="noConversion"/>
  </si>
  <si>
    <t>% others</t>
    <phoneticPr fontId="3" type="noConversion"/>
  </si>
  <si>
    <t>% EV</t>
    <phoneticPr fontId="3" type="noConversion"/>
  </si>
  <si>
    <t>% CO2</t>
    <phoneticPr fontId="3" type="noConversion"/>
  </si>
  <si>
    <t>% of ESG</t>
    <phoneticPr fontId="3" type="noConversion"/>
  </si>
  <si>
    <t>% incentive related to EV</t>
  </si>
  <si>
    <t>Base salary</t>
    <phoneticPr fontId="3" type="noConversion"/>
  </si>
  <si>
    <t>Fix compensation</t>
    <phoneticPr fontId="3" type="noConversion"/>
  </si>
  <si>
    <t>Annual variable compensation</t>
    <phoneticPr fontId="3" type="noConversion"/>
  </si>
  <si>
    <t>Long-term compensation</t>
    <phoneticPr fontId="3" type="noConversion"/>
  </si>
  <si>
    <t>Co-investment plan</t>
    <phoneticPr fontId="3" type="noConversion"/>
  </si>
  <si>
    <t>Basic compensation</t>
    <phoneticPr fontId="3" type="noConversion"/>
  </si>
  <si>
    <t>Annual bonus</t>
    <phoneticPr fontId="3" type="noConversion"/>
  </si>
  <si>
    <t>Long-term incentive- Performance-based cash incentive</t>
    <phoneticPr fontId="3" type="noConversion"/>
  </si>
  <si>
    <t>Fixed remuneration</t>
    <phoneticPr fontId="3" type="noConversion"/>
  </si>
  <si>
    <t>Variable remuneration- Bonus- Eearning component</t>
    <phoneticPr fontId="3" type="noConversion"/>
  </si>
  <si>
    <t>Variable remuneration- Bonus- performance component</t>
    <phoneticPr fontId="3" type="noConversion"/>
  </si>
  <si>
    <t>Variable remuneration- Share-based remuneration- RoCE component</t>
    <phoneticPr fontId="3" type="noConversion"/>
  </si>
  <si>
    <t>Variable remuneration- Share-based remuneration- Strategic focus target component</t>
    <phoneticPr fontId="3" type="noConversion"/>
  </si>
  <si>
    <t>Based salary</t>
    <phoneticPr fontId="3" type="noConversion"/>
  </si>
  <si>
    <t>Fringe</t>
    <phoneticPr fontId="3" type="noConversion"/>
  </si>
  <si>
    <t>Annual bonus (max)</t>
    <phoneticPr fontId="3" type="noConversion"/>
  </si>
  <si>
    <t>LTI (max)</t>
    <phoneticPr fontId="3" type="noConversion"/>
  </si>
  <si>
    <t xml:space="preserve"> </t>
    <phoneticPr fontId="3" type="noConversion"/>
  </si>
  <si>
    <t>page 10: https://www.renaultgroup.com/wp-content/uploads/2022/03/18-february-2022-2021-and-2022-compensation-of-corporate-officers.pdf</t>
    <phoneticPr fontId="3" type="noConversion"/>
  </si>
  <si>
    <t>3.2.2.2 and 3.2.4.2: https://www.renaultgroup.com/wp-content/uploads/2023/03/renault_2022-urd_20230327_en.pdf</t>
    <phoneticPr fontId="3" type="noConversion"/>
  </si>
  <si>
    <t>page 57-58: https://www.sec.gov/Archives/edgar/data/1467858/000119312522131642/d215687ddef14a.htm#rom215687_31</t>
  </si>
  <si>
    <t>https://www.hyundai.com/content/dam/hyundai/ww/en/images/company/sustainability/about-sustainability/hmc-2022-sustainability-report-governance-en.pdf</t>
    <phoneticPr fontId="3" type="noConversion"/>
  </si>
  <si>
    <t>page 60-61: https://www.nissan-global.com/EN/IR/LIBRARY/FR/2021/ASSETS/PDF/fr2021.pdf</t>
    <phoneticPr fontId="3" type="noConversion"/>
  </si>
  <si>
    <t>https://www.sec.gov/ix?doc=/Archives/edgar/data/1094517/000119312522179197/d696693d20f.htm#rom696693_24</t>
    <phoneticPr fontId="3" type="noConversion"/>
  </si>
  <si>
    <t>264/343 https://www.press.bmwgroup.com/global/article/detail/T0410919EN/bmw-group-report-2022</t>
    <phoneticPr fontId="3" type="noConversion"/>
  </si>
  <si>
    <t>page 60-61: https://www.volkswagenag.com/presence/investorrelation/publications/annual-media-conference/2022/Verg%C3%BCtungsbericht%202021_en.pdf</t>
    <phoneticPr fontId="3" type="noConversion"/>
  </si>
  <si>
    <t>page 13: https://www.bmwgroup.com/content/dam/grpw/websites/bmwgroup_com/company/downloads/en/2022/Remuneration-Report-for-the-Board-of-Management-and-the-Supervisory-Board-2021.pdf</t>
    <phoneticPr fontId="3" type="noConversion"/>
  </si>
  <si>
    <t>https://www.bydglobal.com/sitesresources/common/tools/generic/web/viewer.html?file=%2Fsites%2FSatellite%2FBYD%20PDF%20Viewer%3Fblobcol%3Durldata%26blobheader%3Dapplication%252Fpdf%26blobkey%3Did%26blobtable%3DMungoBlobs%26blobwhere%3D1600575229843%26ssbinary%3Dtrue</t>
    <phoneticPr fontId="3" type="noConversion"/>
  </si>
  <si>
    <t>page 6: https://group.mercedes-benz.com/documents/investors/reports/annual-report/mercedes-benz/mercedes-benz-remuneration-report-2022.pdf</t>
    <phoneticPr fontId="3" type="noConversion"/>
  </si>
  <si>
    <t>https://www.sec.gov/Archives/edgar/data/37996/000110465922041499/tm2130881-4_def14a.htm#tLTEM2</t>
    <phoneticPr fontId="3" type="noConversion"/>
  </si>
  <si>
    <t>https://global.honda/content/dam/site/global/investors/cq_img/library/form_20-f/FY202203_form20f_e.pdf</t>
    <phoneticPr fontId="3" type="noConversion"/>
  </si>
  <si>
    <t>https://www.sec.gov/Archives/edgar/data/1318605/000156459022024064/tsla-def14a_20220804.htm</t>
    <phoneticPr fontId="3" type="noConversion"/>
  </si>
  <si>
    <t>https://worldwide.kia.com/int/company/sustainability/sustainability-report</t>
    <phoneticPr fontId="3" type="noConversion"/>
  </si>
  <si>
    <t>https://www.mazda.com/globalassets/en/assets/investors/library/governance/files/cg220628_e.pdf</t>
    <phoneticPr fontId="3" type="noConversion"/>
  </si>
  <si>
    <t>page 181: https://www.sec.gov/ix?doc=/Archives/edgar/data/1605484/000160548423000020/stellantis-20221231.htm</t>
    <phoneticPr fontId="3" type="noConversion"/>
  </si>
  <si>
    <t>https://www.globalsuzuki.com/ir/library/governance/pdf/report.pdf</t>
    <phoneticPr fontId="3" type="noConversion"/>
  </si>
  <si>
    <t>https://www.skoda-storyboard.com/en/skoda-world/next-level-strategy-2030/</t>
  </si>
  <si>
    <t>https://www.volkswagenag.com/en/news/2020/11/BENTLEY-MOTORSOUTLINES-BEYOND100-STRATEGY-TARGETING-SUSTAINABLE-LUXURY-MOBILITY-LEADERSHIP.html</t>
  </si>
  <si>
    <t>https://www.tatamotors.com/wp-content/uploads/2022/06/annual-report-2021-22.pdf</t>
    <phoneticPr fontId="3" type="noConversion"/>
  </si>
  <si>
    <t>https://www.volkswagenag.com/presence/investorrelation/publications/annual-media-conference/2023/Verg%C3%BCtungsbericht%202022_e.pdf</t>
    <phoneticPr fontId="3" type="noConversion"/>
  </si>
  <si>
    <t>OEM</t>
    <phoneticPr fontId="5" type="noConversion"/>
  </si>
  <si>
    <t>ZEV equivalent share</t>
  </si>
  <si>
    <t>Global</t>
  </si>
  <si>
    <t>Score</t>
  </si>
  <si>
    <t>PC class</t>
  </si>
  <si>
    <t>LCV class</t>
  </si>
  <si>
    <t>Subcompact</t>
  </si>
  <si>
    <t>Compact</t>
  </si>
  <si>
    <t>Midsize</t>
  </si>
  <si>
    <t>Large</t>
  </si>
  <si>
    <t>SUV/MPV</t>
  </si>
  <si>
    <t>Small</t>
  </si>
  <si>
    <t>Medium</t>
  </si>
  <si>
    <t>Y</t>
  </si>
  <si>
    <t>PC (wh/km)</t>
  </si>
  <si>
    <t>LCV (wh/km)</t>
  </si>
  <si>
    <t>Sales-weighted avg adj energy consumption (Wh/km))</t>
  </si>
  <si>
    <t>Original energy consumption  (Wh/km))</t>
  </si>
  <si>
    <t>Charger type</t>
  </si>
  <si>
    <t>Market share (%)</t>
  </si>
  <si>
    <t>Normal</t>
  </si>
  <si>
    <t>Fast</t>
  </si>
  <si>
    <t>PC (km)</t>
  </si>
  <si>
    <t>LCV (km)</t>
  </si>
  <si>
    <r>
      <t>Note</t>
    </r>
    <r>
      <rPr>
        <sz val="11"/>
        <color theme="1"/>
        <rFont val="Helvetica"/>
        <family val="2"/>
      </rPr>
      <t>: Asterisks signify that the OEM’s total ZEV-equivalent sales in the respective region were less than 5,000. Cells shaded in grey indicate that no light-duty vehicles (LDVs) were sold in that market and cells filled with a dash denote that no EV sales occurred in that market.</t>
    </r>
  </si>
  <si>
    <t>Discounted PHEV</t>
    <phoneticPr fontId="3" type="noConversion"/>
  </si>
  <si>
    <t>Benchmark</t>
    <phoneticPr fontId="3" type="noConversion"/>
  </si>
  <si>
    <t>Brand</t>
  </si>
  <si>
    <t>Electric vehicle (EV) sales target</t>
  </si>
  <si>
    <t>Region</t>
  </si>
  <si>
    <t>EV sales</t>
  </si>
  <si>
    <t>Type</t>
  </si>
  <si>
    <t>LDV</t>
  </si>
  <si>
    <t>Others</t>
  </si>
  <si>
    <t>/</t>
  </si>
  <si>
    <t>Leading markets</t>
  </si>
  <si>
    <t>ZEV, PHEV</t>
  </si>
  <si>
    <t>PC</t>
  </si>
  <si>
    <t>Global (excl. China)</t>
  </si>
  <si>
    <t>Volvo Cars</t>
  </si>
  <si>
    <t>Hyundai, Genesis</t>
  </si>
  <si>
    <t>Kia</t>
  </si>
  <si>
    <t>Score by region</t>
    <phoneticPr fontId="3" type="noConversion"/>
  </si>
  <si>
    <t>Global score</t>
    <phoneticPr fontId="3" type="noConversion"/>
  </si>
  <si>
    <r>
      <t>Segment</t>
    </r>
    <r>
      <rPr>
        <b/>
        <vertAlign val="superscript"/>
        <sz val="8"/>
        <color rgb="FFFFFFFF"/>
        <rFont val="Helvetica"/>
        <family val="2"/>
      </rPr>
      <t>a</t>
    </r>
  </si>
  <si>
    <r>
      <t>Year</t>
    </r>
    <r>
      <rPr>
        <b/>
        <vertAlign val="superscript"/>
        <sz val="8"/>
        <color rgb="FFFFFFFF"/>
        <rFont val="Helvetica"/>
        <family val="2"/>
      </rPr>
      <t>b</t>
    </r>
  </si>
  <si>
    <t>/</t>
    <phoneticPr fontId="3" type="noConversion"/>
  </si>
  <si>
    <t>Table 2. Sales data for OEMs and selected brands only</t>
    <phoneticPr fontId="3" type="noConversion"/>
  </si>
  <si>
    <t xml:space="preserve">Total investment adjusted (2022 USD) </t>
    <phoneticPr fontId="3" type="noConversion"/>
  </si>
  <si>
    <t>Infrastructure investment per vehicle</t>
    <phoneticPr fontId="3" type="noConversion"/>
  </si>
  <si>
    <t>Share of infrastructure investment per total EV investment</t>
    <phoneticPr fontId="3" type="noConversion"/>
  </si>
  <si>
    <t>Table 3. Sales data by brand</t>
    <phoneticPr fontId="3" type="noConversion"/>
  </si>
  <si>
    <t>Ford is working with with suppliers and looking for business partners in each global region for responsible raw material sourcing, enhance battery recycling and build out battery recycling and a domestic battery supply chain for electric vehicles (2022 Integrated Financial and Sustainability Report, p25).
Ford is in collaboration with Redwood Materials to integrate battery recycling into our domestic battery strategy by creating recycling options for scrap and end-of-life batteries, and ramping up lithium-ion recycling (2022 Integrated Financial and Sustainability Report, p46).</t>
    <phoneticPr fontId="3" type="noConversion"/>
  </si>
  <si>
    <t xml:space="preserve">No information available. </t>
    <phoneticPr fontId="3" type="noConversion"/>
  </si>
  <si>
    <t xml:space="preserve">The second use and recycling of high-voltage batteries from electric vehicles were included in the holistic concept for sustainability at an early stage at BMW Group. The BMW Group has been involved in various initiator projects for the further use and recycling of high-voltage batteries since 2013. BMW Group enhanced the volume of high-voltage batteries (HVBs) recycled and identified secondary uses for HVB's for pallet trucks and as energy storage solutions in BMW's plants to extend the lifecycle. Starting at the production plants, BMW's first breakthrough was the pilot use of secondary HVBs to power pallet trucks. In 2021, BMW used end-of-life HVBs to power forklifts and pallet trucks at the Plant Tiexi and Plant Powertrain (2021 BMW Group Report, p38). Further, BMW are integrating renewable energies into the electricity grid, increasing its stability and lowering the energy costs for consumers. The best example of this is battery storage systems at the BMW Group plant in Leipzig and at the ferry terminal in Hamburg. 
BMW Group also partnered with a German recycling specialist Duesenfeld to develop a method that can achieve a recycling rate of up to 96% of the materials – including graphite and electrolytes (BMW website). 
The BMW Brilliance Automotive joint venture (BBA) has established a closed loop for reuse of the raw materials nickel, lithium and cobalt from high-voltage batteries. The raw materials obtained in this way are used in production of new battery cells for the BMW Group (Survey response, 2023). By the end of 2021, 554 BMW dealers have established the recycling procedure for HVBs across China. (2021 BMW Brilliance Automotive Sustainability Report, p38).
</t>
    <phoneticPr fontId="3" type="noConversion"/>
  </si>
  <si>
    <t>BYD partnered with China Tower Corporation, a major power battery recycling company since January 2018.
BYD currently operates about 40 battery recycling outlets across China; it also formed a partnership with a Japanese trading company to repurpose used batteries for energy storage systems for
renewable energy facilities. 
BYD indirectly owns Taizhou Fudi Battery Co., Ltd., founded on April 13, 2018. The company sells batteries, recycles and reuses waste power batteries for new energy vehicles, and develops new material technologies.
(Source: https://www.163.com/dy/article/H7JG8G51052586G3.html;%20https://www.bydglobal.com/cn/SocialResponsibility/BatteryRecycle.html)</t>
    <phoneticPr fontId="3" type="noConversion"/>
  </si>
  <si>
    <t>Suzuki</t>
    <phoneticPr fontId="3" type="noConversion"/>
  </si>
  <si>
    <t>https://www.volkswagen-newsroom.com/en/press-releases/volkswagen-is-accelerating-transformation-into-software-driven-mobility-provider-6878</t>
  </si>
  <si>
    <t>https://insideevs.com/news/516332/audi-2033-electric-except-china/</t>
  </si>
  <si>
    <t xml:space="preserve">https://newsroom.porsche.com/en/2022/company/porsche-annual-press-conference-financial-year-2021-annual-and-sustainability-report-27739.html </t>
  </si>
  <si>
    <t>(https://global.toyota/en/company/profile/production-sales-figures/202212.html</t>
  </si>
  <si>
    <t>https://www.media.stellantis.com/de-de/corporate-communications/press/Dare-Forward-2030_Der-Plan-von-Sellantis-fuer-modernste-Mobilitaetsfreiheit</t>
  </si>
  <si>
    <t>https://m.in-en.com/article/html/energy-2307614.shtml</t>
  </si>
  <si>
    <t>https://www.bmwgroup.com/en/sustainability/our-focus/electromobility.html</t>
  </si>
  <si>
    <t>https://libattery.ofweek.com/2021-08/ART-36008-8120-30520683.html</t>
  </si>
  <si>
    <t>https://pdf.dfcfw.com/pdf/H3_AP202106301500877604_1.pdf?1625041176000.pdf</t>
  </si>
  <si>
    <t>https://insidemazda.mazdausa.com/the-mazda-way/mazdas-approach-to-electrification/#:~:text=By%202030%2C%20100%25%20of%20Mazda,to%20Mazda's%20iconic%20driving%20experience.</t>
  </si>
  <si>
    <t>https://baijiahao.baidu.com/s?id=1729135070937859777&amp;wfr=spider&amp;for=pc</t>
  </si>
  <si>
    <t>https://www.reuters.com/business/autos-transportation/exclusive-renault-nissan-mitsubishi-unveil-2030-ev-plan-this-week-2022-01-23/</t>
  </si>
  <si>
    <t>https://www.world-today-news.com/dacia-gives-up-the-classic-engines-and-becomes-exclusively-electric-when-will-the-plant-from-mioveni-move-to-green-cars/</t>
  </si>
  <si>
    <t>https://insideevs.com/news/571273/kia-2030-roadmap-ev-transition/</t>
  </si>
  <si>
    <t>https://press.kia.com/eu/en/home/media-resouces/press-releases/2022/Kia-CEO-Investor-Day.html</t>
  </si>
  <si>
    <t>https://libattery.ofweek.com/2021-11/ART-36008-8460-30532638.html</t>
  </si>
  <si>
    <t>https://www.media.volvocars.com/global/en-gb/media/pressreleases/277409/volvo-cars-to-be-fully-electric-by-2030</t>
  </si>
  <si>
    <t>https://investors.volvocars.com/en/financial-information/results-centre</t>
  </si>
  <si>
    <t>https://auto.economictimes.indiatimes.com/videos/exclusive-tata-motors-expects-electrics-to-be-50-of-its-pv-sales-by-2030/94102087</t>
  </si>
  <si>
    <t>https://www.forbes.com/sites/michaeltaylor/2021/02/15/jaguar-to-turn-all-electric-by-2025-land-rover-evs-start-in-2024/?sh=398e08b17174</t>
  </si>
  <si>
    <t>Source battery from suppliers</t>
  </si>
  <si>
    <t>Yes</t>
  </si>
  <si>
    <t>Renewable electricity at battery suppliers</t>
    <phoneticPr fontId="3" type="noConversion"/>
  </si>
  <si>
    <t>Mercedes-Benz</t>
    <phoneticPr fontId="3" type="noConversion"/>
  </si>
  <si>
    <t>No information available</t>
  </si>
  <si>
    <t>No specific requirement on the usage of renewable electricity for all suppliers. 
Stellantis’ climate change objectives are translated into contractual commitments via specifications and purchasing policies according to two different criteria: CO2 emissions reduction and the type of materials used (2022 CSR Report, p125).
Stellantis collected a status report from its 250 major suppliers on their current and future CO2 emissions and implementing a reduction plan by inviting them annually to participate in the Stellantis CDP Supply Chain program (2022 CSR Report, p125).
Stellantis assesses the supply base also on environmental criteria annually via the CDP Supply Chain Module as well as part of the EcoVadis process annually (2022 CSR Report, p126).</t>
    <phoneticPr fontId="3" type="noConversion"/>
  </si>
  <si>
    <t>No specific requirement on the usage of renewable electricity for all suppliers. 
BYD requires suppliers to meet labor standards, occupational health and safety, environmental management, trade security, anti-corruption, and anti-commercial bribery. Relevant documents state that suppliers must not purchase conflict minerals and extend the ban to lower-tier suppliers (2021 CSR Report, p33).
Suppliers must consider the environment during product design and production and implement programs to reduce their impact, such as substituting materials, reducing carbon emissions, and improving air, water, and soil waste management. BYD's suppliers must meet national, local, and toxic and hazardous substance standards (2021 CSR Report, p33).</t>
  </si>
  <si>
    <t xml:space="preserve">No specific requirement on the usage of renewable electricity for all suppliers. 
By the end of 2022, Renault Group implemented responsible purchasing policy incorporating compliance with social and environmental standards into suppliers’ criteria and requirements, conduct compliance assessment and audits but did not require its battery suppliers to use renewable electricity in their production (2021-2022 Integrated Report, p64). </t>
  </si>
  <si>
    <t>Require suppliers to use renewable electricity</t>
    <phoneticPr fontId="3" type="noConversion"/>
  </si>
  <si>
    <t>Renewable electricity usage at vehicle production plants</t>
    <phoneticPr fontId="3" type="noConversion"/>
  </si>
  <si>
    <t>Worldwide, 100% of externally purchased electricity of all BMW Group production sites and the vast majority of its other locations come from renewable self-generation plants, direct supply contracts for green electricity, and electricity of certified origin. (2022 BMW Group report, p73). There are still a few remaining volumes from on site combined heat and power facilities, partially supplied with gas. These volumes will be further reduced as part of plant revision/maintenance measures.</t>
    <phoneticPr fontId="3" type="noConversion"/>
  </si>
  <si>
    <t>In 2021, BYD reported a total of 44 GWh of electricity was generated using solar energy (2021 CSR Report, p62).</t>
  </si>
  <si>
    <t xml:space="preserve">Renault reported several EU plants including Palencia (Spain), Valladolid (Spain), Pitesti (Romania), Curitiba (Brazil) have used 100% renewable electricity. Renault aims to achieve 100% of sites powered by renewable energy in France, Spain, Slovenia and Portugal by 2030.
The Tangier plant in Morroco operates on 100% renewable electricity operating on zero emission.
(Source: Renault Group website. Tangier plant. (2022). Retrieved from https://www.renaultgroup.com/en/our-company/locations/tangier-plant/). </t>
  </si>
  <si>
    <t>SAIC Motor reported the total electricity generated from photovoltaic power generation capacity amounted to 230 MWh (2021 CSR, p65).</t>
  </si>
  <si>
    <t>Share of electricity
that is renewable</t>
    <phoneticPr fontId="3" type="noConversion"/>
  </si>
  <si>
    <t>Scope of
production plants</t>
    <phoneticPr fontId="3" type="noConversion"/>
  </si>
  <si>
    <t>44,000 MWh</t>
    <phoneticPr fontId="3" type="noConversion"/>
  </si>
  <si>
    <t>44 MWh</t>
    <phoneticPr fontId="3" type="noConversion"/>
  </si>
  <si>
    <t>Plants in India</t>
    <phoneticPr fontId="3" type="noConversion"/>
  </si>
  <si>
    <t>37,672 MWh</t>
    <phoneticPr fontId="3" type="noConversion"/>
  </si>
  <si>
    <t>Plants in China</t>
    <phoneticPr fontId="3" type="noConversion"/>
  </si>
  <si>
    <t>Plant in Morocco</t>
    <phoneticPr fontId="3" type="noConversion"/>
  </si>
  <si>
    <t>Global plants</t>
    <phoneticPr fontId="3" type="noConversion"/>
  </si>
  <si>
    <t>1.1 MWh</t>
    <phoneticPr fontId="3" type="noConversion"/>
  </si>
  <si>
    <t>Plants in Japan</t>
    <phoneticPr fontId="3" type="noConversion"/>
  </si>
  <si>
    <t>71,000 MWh</t>
    <phoneticPr fontId="3" type="noConversion"/>
  </si>
  <si>
    <t>230 MWh</t>
    <phoneticPr fontId="3" type="noConversion"/>
  </si>
  <si>
    <t>44 plants in the European Union</t>
    <phoneticPr fontId="3" type="noConversion"/>
  </si>
  <si>
    <t>18 non-EU plants</t>
  </si>
  <si>
    <t>All plants in Europe</t>
    <phoneticPr fontId="3" type="noConversion"/>
  </si>
  <si>
    <t>All plants in the European Union</t>
    <phoneticPr fontId="3" type="noConversion"/>
  </si>
  <si>
    <t>Several plants in South America</t>
    <phoneticPr fontId="3" type="noConversion"/>
  </si>
  <si>
    <t>Several plants in the European Union and South America</t>
    <phoneticPr fontId="3" type="noConversion"/>
  </si>
  <si>
    <t>Battery recycling and repurposing efforts</t>
    <phoneticPr fontId="3" type="noConversion"/>
  </si>
  <si>
    <t>Source: Atlas EV Hub, OEM announcements and press release.</t>
    <phoneticPr fontId="3" type="noConversion"/>
  </si>
  <si>
    <t>THE GLOBAL AUTO RATING 2022</t>
    <phoneticPr fontId="3" type="noConversion"/>
  </si>
  <si>
    <t>Metric score</t>
    <phoneticPr fontId="3" type="noConversion"/>
  </si>
  <si>
    <t>Metric raw points (before mapping into 0-100 scoring scale)</t>
    <phoneticPr fontId="3" type="noConversion"/>
  </si>
  <si>
    <t>EV adjustment</t>
  </si>
  <si>
    <t>ZEV target score adjusted</t>
  </si>
  <si>
    <t>Eligible sales</t>
  </si>
  <si>
    <t>Global LDV sales</t>
    <phoneticPr fontId="3" type="noConversion"/>
  </si>
  <si>
    <t>PHEV</t>
    <phoneticPr fontId="3" type="noConversion"/>
  </si>
  <si>
    <t>Calculations</t>
    <phoneticPr fontId="3" type="noConversion"/>
  </si>
  <si>
    <t>LDV sales 2022 (full year)</t>
    <phoneticPr fontId="4" type="noConversion"/>
  </si>
  <si>
    <t>Total investment per vehicle (USD)</t>
    <phoneticPr fontId="4" type="noConversion"/>
  </si>
  <si>
    <t xml:space="preserve">Total infrastructure investment*
(2022 USD) </t>
    <phoneticPr fontId="4" type="noConversion"/>
  </si>
  <si>
    <t>* Only for automakers that disclose the infrastructure investment information. The infrastructure investment is already part of the total investment that is being evaluated for this metric.</t>
    <phoneticPr fontId="3" type="noConversion"/>
  </si>
  <si>
    <t>https://investors.volvocars.com/~/media/Files/V/Volvo-Cars-IR-V2/documents/AGM2022/AGM%20ENG/Remuneration%20Report.pdf</t>
    <phoneticPr fontId="3" type="noConversion"/>
  </si>
  <si>
    <t>Sources</t>
    <phoneticPr fontId="3" type="noConversion"/>
  </si>
  <si>
    <t>Incentive %</t>
    <phoneticPr fontId="3" type="noConversion"/>
  </si>
  <si>
    <t>Tata</t>
    <phoneticPr fontId="4" type="noConversion"/>
  </si>
  <si>
    <t>Adjustment factor</t>
    <phoneticPr fontId="3" type="noConversion"/>
  </si>
  <si>
    <t xml:space="preserve">Since 2022, all of Mercedes-Benz AG's own production plants worldwide have been sourcing electricity exclusively from renewable sources. The Mercedes-Benz Group is pursuing the goal of covering more than 70% of its energy requirements in production with renewable energies by 2030 – in addition to electricity, this also includes gas and district heat, for example. The Group also aims to generate more renewable energy itself at its locations. (2022 Sustainability Report, p74).
</t>
    <phoneticPr fontId="3" type="noConversion"/>
  </si>
  <si>
    <t>Great Wall Motors has installed 263MW of solar photovoltaic power plants, and is planning a follow-up construction plan for 265MW of solar photovoltaic power plants. In 2021, it achieved a total of 71.27 GWh of solar power generation (2021 CSR Report, p43).</t>
    <phoneticPr fontId="3" type="noConversion"/>
  </si>
  <si>
    <t>In the previous report, Tesla estimated around 30% renewable electricity use globally (2020 Impact Report, p88).</t>
    <phoneticPr fontId="3" type="noConversion"/>
  </si>
  <si>
    <t>GM is working with cell and cathode manufacturers to identify global recycling partners and establish pathways for recycled material from manufacturing battery scrap and warranty returns to reenter EV supply chains in a way that is environmentally and technologically sound. (2023 sustainability report, p45). 
In the United States, GM supported the development of recycling and recycled material reuse in new cells through a collaboration with recycling companies and the Department of Energy's U.S. Advanced Battery Consortium and has a longstanding collaboration with Cirba Solutions, which handles dismantling and recycling components, as well as materials used in EV batteries (2023 sustainability report, p45). Further, GM has a strategic relationship and commercial collaboration with Controlled Thermal Resources to support development of U.S.-sourced, low-cost lithium from the Salton Sea area of California. The lithium will be produced through a closed-loop, direct extraction process. (2022 Sustainability Report, p83)
In 2022, GM Ventures made a strategic investment in Lithion, a Québec-based battery recycling company. Lithions technology creates opportunities to recover raw materials. Lithion will start commercial recycling operations in 2023 (2023 Sustainability Report, p45). 
GM announced a patented heat pump that recovers waste energy from EV batteries to power heating and propulsion, while providing up to 10% more range. Ultiums energy recovery technology reduces the need to power heating and other functions from energy stored in the battery, potentially allowing more power and range than vehicles with similarly sized batteries without such capabilities. With its active heating capabilities, Ultium vehicles can also potentially charge more efficiently by warming up the batteries before charging. (2023 Sustainability Report, p18).
GM collaborated with Oak Ridge National Laboratory to evaluate and test a stationary storage system built with EoL batteries against various use cases including solar integration and back-up power. Stationary storage units were also installed re-using Volt batteries at the GM data center office at the Milford Proving Grounds in the United States , as well as at a SAIC-GM-Wuling facility using Baojun E100 and E200 batteries in China. (2022 Sustainability Report, p34).</t>
    <phoneticPr fontId="3" type="noConversion"/>
  </si>
  <si>
    <t xml:space="preserve">Any battery that is no longer meeting a customers needs can be serviced at a Tesla Service Center. Tesla established internal ecosystem to re-manufacture batteries coming from the field to the Service Centers. Tesla actively implements circular economy principles and consider all other options before opting for battery recycling (2021 Impact Report, p96).
Tesla is building capacity to recycle manufacturing scrap and end of life batteries in order to close the loop on battery raw materials globally (2021 Impact Report, p97, p121). 
</t>
    <phoneticPr fontId="3" type="noConversion"/>
  </si>
  <si>
    <t>Great Wall, announced its official entry into the field of battery recycling through the establishment of a subsidiary Honeycomb Energy.
(Source: Sohu News. (November 2022). Retrieved from https://www.sohu.com/a/601620362_120957164).</t>
    <phoneticPr fontId="3" type="noConversion"/>
  </si>
  <si>
    <r>
      <t xml:space="preserve">Stellantis launched new e-Repair services centers in countries of operation including France, Germany, Istrael and South Korea to repair batteries then re-manufacture in the Battery Expertise Centers and finally recycled with qualified partners. (2021 Sustainability Report, p22). 
Stellantis deployed Reman Solution in Europe and North America to extend batteries lifespan through remanufacturing, conducted second life pilot projects in Europe and North America and developed recycling process in Europe, North America, South America and China. (2021 Sustainability Report, p208).
In September 2022, Stellantis announced to begin vehicle reconditioning and dismantling and parts remanufacturing at its Mirafiori Complex in Italy beginning 2023. The operations are slated to be expanded globally. 
(Source: Repairer Drive News. </t>
    </r>
    <r>
      <rPr>
        <i/>
        <sz val="12"/>
        <color theme="1"/>
        <rFont val="Calibri"/>
        <family val="2"/>
      </rPr>
      <t>GM &amp; Stellantis announce EV recycling, supply chain efforts. (</t>
    </r>
    <r>
      <rPr>
        <sz val="12"/>
        <color theme="1"/>
        <rFont val="Calibri"/>
        <family val="2"/>
      </rPr>
      <t xml:space="preserve">September 2022). Retrieved from https://www.repairerdrivennews.com/2022/09/26/gm-stellantis-announce-ev-recycling-supply-chain-efforts/)
</t>
    </r>
    <phoneticPr fontId="3" type="noConversion"/>
  </si>
  <si>
    <t>Renault established repair centers for batteries during their first life, and second-life solutions – stationary (Advanced Battery Storage), mobile or modular energy storage in partnership with Betteries – at the Refactory in Flins (2021-2022 Integrated Report, p21).
Renault Group worked with the consortium with Veolia and Solvay to develop closed-loop recycling of strategic materials (cobalt, nickel, lithium) to produce new batteries (2021-2022 Integrated Report, p21).</t>
    <phoneticPr fontId="3" type="noConversion"/>
  </si>
  <si>
    <r>
      <t>SAIC-GM-Wuling created a 1MWh storage facility using second-life lithium-ion electric vehicle battery packs. The 250kW power station is using batteries from the development of SAIC-GM-Wuling's Baojun E100 and E200 electric vehicles. The system at the company's Baojun base in Liuzhou, is Guangxi province's first cascading energy storage power station using second-life batteries. 
(Source: Bestmag, SAIC-GM-Wuling builds energy storage system using retired EV batteries (July, 2020). Retrieved from https://www.bestmag.co.uk/saic-gm-wuling-builds-ess-using-retired-ev-batteries/)
SAIC, CATL and two oil companies Sinopec and China National Petroleum (CNPC) founded a joint venture to promote EVs with replaceable batteries. The joint venture, called Shanghai Jieneng Zhidian New Energy Technology, is expected to set up about 40 battery swapping stations in cities such as Shanghai, Beijing, Guangzhou and Shenzhen this year. SAIC and CATL have signed an agreement to jointly promote recycling and reuse of power batteries for new energy vehicles since 2018.
(Source: Electrive. SAIC, CATL, Sinopec &amp; CNPC to swap batteries in China. (October, 2022). Retrieved from https://www.electrive.com/2022/10/10/saic-catl-sinpec-cnpc-join-forces-on-battery-swapping/)</t>
    </r>
    <r>
      <rPr>
        <b/>
        <sz val="12"/>
        <color theme="1"/>
        <rFont val="Calibri"/>
        <family val="2"/>
      </rPr>
      <t xml:space="preserve">.
</t>
    </r>
    <phoneticPr fontId="3" type="noConversion"/>
  </si>
  <si>
    <r>
      <t>Toyota and Redwood Materials (Redwood) will explore a series of end-of-life battery solutions for Toyota's proposed battery ecosystem in North America. This mission focuses on both to recycle batteries into raw materials to create a sustainable supply chain and to develop second-life opportunities for remanufactured and repurposed  batteries. The collaboration will focus on the collection, testing and recycling of Toyota hybrid electric vehicle batteries then look to expand into other areas such as battery health screening and data management, remanufacturing and battery material supply. 
(Source: Toyota press release. T</t>
    </r>
    <r>
      <rPr>
        <i/>
        <sz val="12"/>
        <color rgb="FF000000"/>
        <rFont val="Calibri"/>
        <family val="2"/>
      </rPr>
      <t>oyota North America to Collaborate with Redwood Materials on a Sustainable, Closed-Loop Electrified Vehicle Battery Ecosystem. (</t>
    </r>
    <r>
      <rPr>
        <sz val="12"/>
        <color rgb="FF000000"/>
        <rFont val="Calibri"/>
        <family val="2"/>
      </rPr>
      <t xml:space="preserve">September 2022). Retrieved from https://pressroom.toyota.com/toyota-to-collaborate-with-redwood-materials-on-a-sustainable-closed-loop-electrified-vehicle-battery-ecosystem/).
JERA and Toyota, as council leaders participated in the Battery Recycling and Reuse Council in Kobe/Kansai area (the "ReBaaS Council"), and engage in the utilization of storage batteries. At the invitation of Kobe City, the ReBaaS Council was founded to contribute to the creation of new demand for and industrialization of storage batteries that are in concord with the SDGs and carbon neutrality. The council will build a platform for battery resource recycling that aims to evaluate storage battery grid interconnection, promote demonstration projects related to the application of recycling technologies to storage batteries, and develop advanced energy management that combines storage batteries with carbon-free power sources and hydrogen fuel cells. 
(Source: JERA press release. </t>
    </r>
    <r>
      <rPr>
        <i/>
        <sz val="12"/>
        <color rgb="FF000000"/>
        <rFont val="Calibri"/>
        <family val="2"/>
      </rPr>
      <t>JERA to Participate in the ReBaaS Council. (</t>
    </r>
    <r>
      <rPr>
        <sz val="12"/>
        <color rgb="FF000000"/>
        <rFont val="Calibri"/>
        <family val="2"/>
      </rPr>
      <t>December 2021). Retrived from https://www.jera.co.jp/en/news/information/20211227_820).</t>
    </r>
    <phoneticPr fontId="3" type="noConversion"/>
  </si>
  <si>
    <t xml:space="preserve">Volkswagen Group (VW) opened the first facility for recycling high-voltage vehicle batteries at the Salzgitter site in Germany at the start of 2021. This includes recycling raw materials such as lithium,nickel, manganese, and cobalt in a closed loop and aluminum, copper, plastic with a recycling rate of more than 90% in the future. The facility has been initially designed to recycle up to 3,600 battery systems per year in pilot operation (2021 Sustainability Report, p61).
</t>
    <phoneticPr fontId="3" type="noConversion"/>
  </si>
  <si>
    <t xml:space="preserve">Mercedes-Benz is building its own CO2-neutral on the balance sheet pilot plant for the recycling of lithium-ion battery systems at its Kuppenheim location. Following this example, Mercedes-Benz is planning to set up a closed-loop recycling system for batteries in China and the USA together with partners (2022 Sustainability Report, p133).
Mercedes-Benz Energy GmbH, based in Kamenz, Germany, is a subsidiary of Mercedes-Benz and is responsible for the development of such innovative energy storage solutions. The company especially focusses on second-life applications and spare-part storage units. Many energy storage units of this kind, with a total capacity of more than 95 MWh, are already operating in Germany. The pilot plant of the electricity supply system at the Factory 56 in Sindelfingen demonstrates a use case for this energy storage solution. Once batteries are no longer possible to recondition or reuse a battery, they are recycled in order to recover valuable raw materials. Mercedes-Benz worked with specialised partner companies to further optimise the recycling process, and participating in sponsorship and research projects (2021 Sustainability Report, p171).
</t>
    <phoneticPr fontId="3" type="noConversion"/>
  </si>
  <si>
    <t>No score was given as recycling mechanism is established for hybrid batteries. 
Suzuki Motor developed a technology to reuse small lithium-ion hybrid batteries collected from end of life vehicles for solar-powered streetlights in Japan. The new technology enabled to reuse batteries collected from ten ELVs as batteries for one solar-powered streetlight. 
(Source: Global Suzuki News. Suzuki Develops a Technology to Reuse Small Lithium-Ion Batteries in Japan. (May 2022). Retrieved from https://www.globalsuzuki.com/globalnews/2022/0523.html).
In India, Maruti Suzuki has established a system to collect and recycle used lithium-ion batteries from when the company launched the Ciaz equipped with lithium-ion batteries for its Mild Hybrid system in 2018. (2021 CSR and Environmental Report, p70).</t>
    <phoneticPr fontId="3" type="noConversion"/>
  </si>
  <si>
    <t>In partnership with Hyundai GLOVIS, Hyundai Motor is building up a global network and transportation control system to collect and transport used batteries discharged from various places including junkyards and dealers around the world. Hyundai Motor also has a remanufacturing business for after sales service. The high-quality second-life batteries generated by battery lifecycle are linked to Hyundai MOBIS remanufacturing business. Hyundai MOBIS uses the domestic and global after-sales parts supply chains to remanufacture purchased/collected second-life batteries into batteries for old vehicles, and provides an aftersales service (2021 Sustainability Report, p27).
Hyundai Motor conducted pilot projects to reuse second-life EV batteries for energy storage system (ESS) since 2020. The Ulsan plants pilot project showcases renewable energy power plant model, which combines a solar power plant on a temporary parking lot for produced vehicles with an ESS that reuses second life batteries (2021 Sustainability Report , p27).
Hyundai Motor signed a preliminary agreement with US national utility company CPS Energy and Texas-based alternative energy company OCI Solar Power to begin testing used electric vehicle (EV) batteries for solar energy storage. Under the agreement the partners plan to install energy storage systems (ESS) developed by the automaker in buildings by September 2022. 
(Source: Just Auto News (Sept 2021). Retrieved from https://www.koreatimes.co.kr/www/tech/2022/09/419_336115.html).</t>
    <phoneticPr fontId="3" type="noConversion"/>
  </si>
  <si>
    <t>Kia launched a formal TFT in 2022 to establish a cooperative system with group companies throughout the battery lifecycle, inspecting front-to-back business and developing advanced technologies (2022 Sustainability Report, p37).
Kia is part of Hyundai GLOVIS, a global network platform and transportation control system to systematically collect and transport used batteries discharged from various places such as junkyards and dealers around the world. Batteries with excellent residual performance among used batteries in electric vehicles can be reused as UBESS (Used Battery Energy Storage System). Further, the highest quality waste batteries generated from Kia's battery lifecycle are linked to Hyundai MOBIS' remanufacturing business according to its own classification criteria. Waste batteries that cannot be remanufactured or reused are disassembled and linked to a recycling business that extracts valuable metals such as lithium, cobalt, and nickel (2022 Sustainability Report, p37).
Kia signed a contract to supply waste batteries with a German state-owned railway company and Kia Europe Corp. signed a contract to supply waste batteries collected from its electric vehicles (EV) sold in Europe to Encore, an energy storage system (ESS) startup of German state-owned railway company Deutsche Bahn (DB) (The Korean Times, September 2022).</t>
    <phoneticPr fontId="3" type="noConversion"/>
  </si>
  <si>
    <t>Geely carried out in-depth research on battery echelon utilization, targeted research on the direction of battery energy storage, directly applied the whole pack battery system, reduced the secondary development and manufacturing costs, and improved the residual value of batteries. (2021 Environmental, Social and Governance Report, p27).
In 2022, Geely established Jiangxi Yiyuan New Energy Technology Co., Ltd. to set foot in the recycling of power batteries. The two parties will invest in the construction of lithium iron phosphate materials and a 100,000-ton battery recycling comprehensive utilization project in Yuanzhou District.
(Sohu news (December 2022). Retrieved from https://www.sohu.com/a/615502453_120957164).</t>
    <phoneticPr fontId="3" type="noConversion"/>
  </si>
  <si>
    <t>Volvo Cars together with suppliers and partners are exploring the potential in second-life applications for its high voltage batteries. An example is the collaboration with BatteryLoop, a company within the Swedish Stena Recycling Group that re-uses batteries from the automotive industry. BatteryLoop and Volvo Cars use batteries from electrified Volvo cars for a solar-powered energy storage system. (2021 Annual and Sustainability Report, p30). 
Volvo Cars established Regional Battery Centers that focuses on the strategy is to reuse, repair and refurbish of batteries to prolong the use in the cars. Volvo Cars is piloting diverse solutions for the use of batteries outside the car i.e, energy management storage systems. (2021 Annual and Sustainability Report, p167).
In Europe, Volvo Cars collaborated with Hydrovolt (a joint venture between Norsk Hydro and Northvolt) where batteries in Volvo Cars' control are sent for recycling. The recovered material is sent for further treatment at Northvolt where it is used in new battery cells. (2021 Annual and Sustainability Report, p167).
Volvo Cars together with Ford will join battery recycling startup Redwood Materials in developing processes, starting in California, to collect end-of-life batteries from electric and hybrid vehicles and recover the materials for use in new batteries.
(Source: Reuters. Ford, Volvo join Redwood in EV battery recycling push in California. (February 2022). Retrieved from https://www.reuters.com/business/autos-transportation/ford-volvo-join-redwood-ev-battery-recycling-push-california-2022-02-17/).</t>
    <phoneticPr fontId="3" type="noConversion"/>
  </si>
  <si>
    <t>Tata Motors through Tata Chemicals is developing battery cell development and local manufacturing including working with technical partner for evaluating the establishment of Lithium-ion cell manufacturing plan and conducting operation for pilot plant for Li-on battery recycling (2021-22 Integrated Annual Report, p27).</t>
    <phoneticPr fontId="3" type="noConversion"/>
  </si>
  <si>
    <t xml:space="preserve">Geely carried out in-depth research on battery echelon utilization, targeted research on the direction of battery energy storage, directly applied the whole pack battery system, reduced the secondary development and manufacturing costs, and improved the residual value of batteries (2021 Environmental, Social and Governance Report, p27).
In 2022, Geely established Jiangxi Yiyuan New Energy Technology Co., Ltd. to set foot in the recycling of power batteries. The two parties will invest in the construction of lithium iron phosphate materials and a 100,000-ton battery recycling comprehensive utilization project in Yuanzhou District.
(Sohu news (December 2022). Retrieved from https://www.sohu.com/a/615502453_120957164).
Volvo Cars together with suppliers and partners are exploring the potential in second-life applications for its high voltage batteries. An example is the collaboration with BatteryLoop, a company within the Swedish Stena Recycling Group that re-uses batteries from the automotive industry. BatteryLoop and Volvo Cars use batteries from electrified Volvo cars for a solar-powered energy storage system (2021 Annual and Sustainability Report, p30). 
Volvo Cars established Regional Battery Centers that focuses on the strategy is to reuse, repair and refurbish of batteries to prolong the use in the cars. Volvo Cars is piloting diverse solutions for the use of batteries outside the car i.e, energy management storage systems (2021 Annual and Sustainability Report, p167).
</t>
    <phoneticPr fontId="3" type="noConversion"/>
  </si>
  <si>
    <t xml:space="preserve">https://global.honda/sustainability/cq_img/report/pdf/2022/Honda-SR-2022-en-all.pdf	https://global.honda/newsroom/news/2021/c210423eng.html		</t>
    <phoneticPr fontId="3" type="noConversion"/>
  </si>
  <si>
    <t>n/a</t>
    <phoneticPr fontId="3" type="noConversion"/>
  </si>
  <si>
    <t>CEO target compensation (absolute number or %)</t>
    <phoneticPr fontId="4" type="noConversion"/>
  </si>
  <si>
    <t>2022 Stellantis Annual Incentive Plan (SAIP)</t>
    <phoneticPr fontId="3" type="noConversion"/>
  </si>
  <si>
    <t>CEO Transformation Incentive 2021-2025</t>
    <phoneticPr fontId="3" type="noConversion"/>
  </si>
  <si>
    <t>Source: Information collected by Valens and ICCT from the same sources in the above table</t>
    <phoneticPr fontId="3" type="noConversion"/>
  </si>
  <si>
    <t>Long Term Incentive Plan</t>
    <phoneticPr fontId="3" type="noConversion"/>
  </si>
  <si>
    <t>Long-term incentive- Restrictted Stock Units</t>
    <phoneticPr fontId="3" type="noConversion"/>
  </si>
  <si>
    <t>CEO compensation</t>
    <phoneticPr fontId="3" type="noConversion"/>
  </si>
  <si>
    <t>Long-Term Incentives</t>
    <phoneticPr fontId="3" type="noConversion"/>
  </si>
  <si>
    <t>https://www.reuters.com/article/us-bmw-results/bmw-expects-at-least-half-of-sales-to-be-electric-cars-by-2030-idUSKBN2B90S7</t>
    <phoneticPr fontId="3" type="noConversion"/>
  </si>
  <si>
    <t>Note</t>
    <phoneticPr fontId="3" type="noConversion"/>
  </si>
  <si>
    <t>Energy consumption</t>
  </si>
  <si>
    <t xml:space="preserve">Data regarding vehicle sales and vehicle power train type were derived from four sources for new vehicles sold in 2022. This includes U.S., Korea, and Japan data from MarkLines (MarkLines, 2022); Europe data from Dataforce (Dataforce, 2022); India data from Segment Y (Segment Y, 2022); and China data from ZEDATA (ZEDATA, 2022). Data on the specifications (gross weight and curb weight, gross and net battery capacity, energy consumption, driving range, and charging time) of each model were collected from specification brochures on manufacturers’ official websites and from major EV information hubs including ev-database.org, evspecifications.com, and EV-Volumes for European and U.S. models, and yiche.com and autohome.com for Chinese models. </t>
  </si>
  <si>
    <t>The tab provides the underlying metrics of fleet-average driving range of ZEVs and metric score by manufacturer.</t>
  </si>
  <si>
    <t>The tab provides the underlying metrics of average charging speed and metric score by manufacturer.</t>
  </si>
  <si>
    <t>The tab provides the underlying metrics of average energy consumption of BEVs and metric scores by manufacturer.</t>
  </si>
  <si>
    <t>Toyota achieved an 13 percent introduction rate for renewable electricity (2022 Environmental Report, p29).
Toyota maintained 100 percent renewable electricity introduction rate at all plants in Europe and also achieved it at all plants in South America (2022 Environmental Report, p29).
Toyota actively introduced renewable energy power generation facilities at Toyota plant sites. In Japan, Toyota installed wind power generators (22 MW, operation to begin in 2022) at the Tahara Plant, and in other regions including installation of solar panels at the new plant in China (23 MW, currently in operation) (2022 Environmental Report, p31).</t>
    <phoneticPr fontId="3" type="noConversion"/>
  </si>
  <si>
    <t xml:space="preserve">Information related to manufacturer-specific actions on ZEV targets, use of renewable energy in manufacturing, and battery recycling and repurposing was primarily sourced from the manufacturers' latest annual sustainability reports. The data used to assess manufacturers’investments in ZEVs was obtained from Atlas Public Policy's EV Hub. Information on manufacturer's compensation for each company's chief executive was compiled by Valens Research specifically for this rating. The information was extracted from the proxy statements and other public filings of each manufacturer. Information and data of five metrics were supplemented with official press releases, media articles, and public announcements collected through the end of 2022. Further, information may reflect automakers' feedback to our survey response by referring to their sustainability reports published in 2023 which only strictly reflect manufacturer's efforts in 2022. </t>
    <phoneticPr fontId="3" type="noConversion"/>
  </si>
  <si>
    <t xml:space="preserve">This tab consists of the final ratings for of the top 20 OEMs for all ten metrics. The final ratings  are directly used for the table in the report. </t>
    <phoneticPr fontId="3" type="noConversion"/>
  </si>
  <si>
    <t>The global sales tab is the total of light-duty vehicle sales in 2022 across six markets by manufacturer.</t>
    <phoneticPr fontId="3" type="noConversion"/>
  </si>
  <si>
    <t>The tab provides the underlying metrics of ZEV (BEV and FCEV) model class coverage for each manufacturer.</t>
    <phoneticPr fontId="3" type="noConversion"/>
  </si>
  <si>
    <t>The tab provides the underlying metrics to evaluate ZEV and PHEV sales share by manufacturer in 2022 and rating for the ZEV-equivalent sales share metric.</t>
    <phoneticPr fontId="3" type="noConversion"/>
  </si>
  <si>
    <t>ZEV market share</t>
    <phoneticPr fontId="3" type="noConversion"/>
  </si>
  <si>
    <t xml:space="preserve">The tab provides the scoring to evaluate manufacturers' efforts to use renewable electrity to decarbonize the vehicle and battery production. </t>
    <phoneticPr fontId="3" type="noConversion"/>
  </si>
  <si>
    <t>The tab provides the scoring to evaluate manufacturers' level of ambition in transitioning to a 100% ZEV fleet.</t>
    <phoneticPr fontId="3" type="noConversion"/>
  </si>
  <si>
    <t xml:space="preserve">The tab provides the scoring and information used to determine the ZEV executive compensation metric. </t>
    <phoneticPr fontId="3" type="noConversion"/>
  </si>
  <si>
    <t>*The target year is not applicable for Tesla and BYD which only sell all electric vehicles.</t>
    <phoneticPr fontId="3" type="noConversion"/>
  </si>
  <si>
    <t>https://www.hyundai.com/content/hyundai/ww/data/ir/calendar/2022/0000000352/files/2022-ceo-investor-day-eng-220620.pdf</t>
    <phoneticPr fontId="3" type="noConversion"/>
  </si>
  <si>
    <t>*Audi (VW) announced to be fully electric by year 2033.</t>
    <phoneticPr fontId="3" type="noConversion"/>
  </si>
  <si>
    <t>*Mini (BMW) announced to be fully electric by "early 2030s".</t>
    <phoneticPr fontId="3" type="noConversion"/>
  </si>
  <si>
    <t>No specific requirement on the usage of renewable electricity for all suppliers. 
Hyundai conducted investigation of GHG emissions by tier-1 suppliers, and reviewed major companies' reduction plans (2021 Sustainability Report, p10).</t>
    <phoneticPr fontId="3" type="noConversion"/>
  </si>
  <si>
    <t>Kia established evaluation of ESG performance for global tier 1 suppliers and establishing plans for improvement (2022 Sustainability Report, p14).</t>
    <phoneticPr fontId="3" type="noConversion"/>
  </si>
  <si>
    <t>Geely reported the proportion of renewable energy in vehicle plants energy consumption was 6.12% (2021 Geely ESG Report, p31).</t>
    <phoneticPr fontId="3" type="noConversion"/>
  </si>
  <si>
    <t>No specific requirement on the usage of renewable electricity for all suppliers. 
Geely required suppliers to reduce the life cycle carbon emission of power battery by more than 25% by 2025, and to provide renewable electricity and energy improvement plans (2021 Environmental, Social and Governance Report, p26, p71).</t>
    <phoneticPr fontId="3" type="noConversion"/>
  </si>
  <si>
    <t>Volvo Cars reported 93% of total electricity was sourced from renewable energy. The global plants are run on 64% climate neutral energy (2021 Annual and Sustainability Report, p158).</t>
    <phoneticPr fontId="3" type="noConversion"/>
  </si>
  <si>
    <t>Tata Motors generated 92.39 million kWh of renewable electricity for its manufacturing operations, which accounted for 19.4% of the total power consumption (2021-22 Integrated Annual Report, p84).</t>
    <phoneticPr fontId="3" type="noConversion"/>
  </si>
  <si>
    <t>No specific requirement on the usage of renewable electricity for all suppliers. 
Through Sustainable Supply Chain Initiative and Dealers Sustainability Initiative, Tata Motor's suppliers and dealers are encouraged to improve energy efficiency, reduce carbon emissions and promote renewable energy at varied levels of the supply chain. Tata Motors is in collaboration with its suppliers endeavor for capacity building, sensitizing and reducing carbon emissions (2021-22 Integrated Annual Report, p91).</t>
    <phoneticPr fontId="3" type="noConversion"/>
  </si>
  <si>
    <t>Hyundai Motor Manufacturing Czech (HMMC) converted 100% of electricity consumed at its plant into renewable energy through the Guarantee of Origin (GO) scheme in 2022 (2021 Sustainability Report, p22).
Renewable energy accounted for 35.5% of total electricity consumption at HMI (Hyundai Motor India) in 2021. Hyundai Motor India (HMI) installed a 10 MW solar panel on the roof of its plant in 2021 while pursuing 100% renewable energy by 2025 through photovoltaic power generation and PPAs. Hyundai continued to supply electricity to the external grid by installing solar panels on the roofs of its production plants under joint investment and rooftop lease agreements with a large public power company. Hyundai will standardize the installation of solar panels in new buildings and plants while pursuing a phased expansion of renewable energy through PPAs (2021 Sustainability Report, p22).
Kia's Slovakia plant, which accounts for 8.6% of Kia's overseas plants GHG emission has used all 100% renewable energy for its electricity consumption (2022 Sustainability Report, p67, p68).</t>
    <phoneticPr fontId="3" type="noConversion"/>
  </si>
  <si>
    <t>Geely reported the proportion of renewable energy in vehicle plants energy consumption was 6.12% (2021 Geely ESG Report, p31).
Volvo Cars reported 93% of total electricity was sourced from renewable energy. The global plants are run on 64% climate neutral energy (2021 Annual and Sustainability Report, p158).</t>
    <phoneticPr fontId="3" type="noConversion"/>
  </si>
  <si>
    <t>Tata Motors generated 92.39 million kWh of renewable electricity for its manufacturing operations, which accounted for 19.4% of the total power consumption (2021-22 Integrated Annual Report, p84).
Jaguar Land Rover continued to purchase 100% renewable-backed electricity for all its core UK operations (2021-22 Integrated Annual Report, p87).</t>
    <phoneticPr fontId="3" type="noConversion"/>
  </si>
  <si>
    <t xml:space="preserve">No specific requirement on the usage of renewable electricity for all suppliers. 
GM continues to implement the Environmental, Social and Governance Partnership Pledge and Supplier Sustainability Framework. GM collaborates with and support suppliers with their renewable energy strategies, and more broadly support their energy-related sustainability goals through the GPSC team (2022 Sustainability Report, p79).
</t>
    <phoneticPr fontId="3" type="noConversion"/>
  </si>
  <si>
    <t>In 2022, GM's renewable energy as a percentage of global electricity use was 30%, an increase from 25% global renewable electricity in 2021 (2022 Sustainability Report, p33).
GM announced in October 2022 that it has now have 17 renewable energy sourcing agreements across 10 states in the US, to source enough renewable energy to meet our 2025 target. Furthermore, GM has multiple renewable energy source projects at its facilities, for example, multiple on-site solar facilities in the U.S. and in Brazil (2022 Sustainability Report, p33).</t>
    <phoneticPr fontId="3" type="noConversion"/>
  </si>
  <si>
    <t>Approximately 27% of global renewable electricity was consumed in 2022 vs 18% in 2021. The percentage is linked to electricity consumption and not the share of sites powered by renewable electricity. This is a portion of the 55% of decarbonized electricity used by Stellantis in 2022 (2022 CSR Report, p113).</t>
    <phoneticPr fontId="3" type="noConversion"/>
  </si>
  <si>
    <t xml:space="preserve">We estimated the portion of renewable electricity by calculating the total renewable energy consumption and the total indirect energy consumption provided in the report. This resulted in approximately 12% renewable electricity usage (2021 Honda Sustainability Report, p64, p74).
Honda's business sites across the world used 804 GWh of power derived from renewable energy sources, such as solar and wind, in FY2022. (2021 Honda Sustainability Report, p74). In the US, Honda received 120 MW through a virtual power purchase agreement (VPPA). In Japan, Honda has concluded agreements to purchase renewable energy-derived power generated by solar power systems installed within its factory premises and operated by a third party (2021 Honda Sustainability Report, p64).
</t>
    <phoneticPr fontId="3" type="noConversion"/>
  </si>
  <si>
    <r>
      <t xml:space="preserve">In May 2022, Suzuki Motor Gujarat Private Limited (SMG), an Indian subsidiary of Suzuki, became the first Suzuki Group company to procure electricity from renewable energy sources by utilizing the Off-site Corporate PPA scheme, where SMG purchases electricity from power generation facilities installed outside SMG premises.
(Source: Global Suzuki News. </t>
    </r>
    <r>
      <rPr>
        <i/>
        <sz val="12"/>
        <color theme="1"/>
        <rFont val="Calibri"/>
        <family val="2"/>
      </rPr>
      <t>Suzuki to Expand Use of Electricity from Renewable Energy Sources in India</t>
    </r>
    <r>
      <rPr>
        <sz val="12"/>
        <color theme="1"/>
        <rFont val="Calibri"/>
        <family val="2"/>
      </rPr>
      <t>. (June 2022). Retrieved from https://www.globalsuzuki.com/globalnews/2022/0602.html)
Suzuki proceeded with the installation of solar power facilities at its domestic plants at the Makinohara and Hamamatsu Maisaka Nishi solar power plant. Suzuki intended to continue installing solar power facilities at other plants in the future (2021 CSR and Environmental Report, p56).</t>
    </r>
    <phoneticPr fontId="3" type="noConversion"/>
  </si>
  <si>
    <t>We estimated the portion of renewable electricity by calculating the total renewable energy used in electricity purchased and generated in house, which accounted for approximately 7%. (2022 Sustainability Report, p53). The global consumption rate of renewable energy at manufacturing plants in FY2021 was 11.1% (2022 Sustainability Report, p32, p57).</t>
    <phoneticPr fontId="3" type="noConversion"/>
  </si>
  <si>
    <t>Chang'an Auto Hefei and Hebei bases have built photovoltaic power stations in the plants, which produce green and clean energy. In 2021, a total of 37,672MWh of photovoltaic power was consumed and 32,270 tons of carbon were reduced. Other bases have completed the discussion of photovoltaic construction planning, and will push forward the implementation as planned to further expand the proportion of green and clean energy (2021 Corporate Responsibility Report, p59).</t>
    <phoneticPr fontId="3" type="noConversion"/>
  </si>
  <si>
    <t>As part of its efforts to promote green manufacturing lines and offices at factories, the Company has installed solar panels at its plant in Hiroshima. In July 2021, Mazda initiated operation of the solar power generation system, which boasts an output of 1.1 MW of electricity. The power generated by the solar panels is used to charge the batteries of MX-30 EV models produced at the plant and for other manufacturing processes (2022 Sustainability Report, p25).</t>
    <phoneticPr fontId="3" type="noConversion"/>
  </si>
  <si>
    <t>Hyundai Motor Manufacturing Czech (HMMC) converted 100% of electricity consumed at its plant into renewable energy through the Guarantee of Origin (GO) scheme in 2022. (2021 Sustainability Report, p22).
Renewable energy accounted for 35.5% of total electricity consumption at HMI (Hyundai Motor India) in 2021. Hyundai Motor India (HMI) installed a 10 MW solar panel on the roof of its plant in 2021 while pursuing 100% renewable energy by 2025 through photovoltaic power generation and PPAs. Hyundai continued to supply electricity to the external grid by installing solar panels on the roofs of its production plants under joint investment and rooftop lease agreements with a large public power company. Hyundai will standardize the installation of solar panels in new buildings and plants while pursuing a phased expansion of renewable energy through PPAs (2021 Sustainability Report, p22).</t>
    <phoneticPr fontId="3" type="noConversion"/>
  </si>
  <si>
    <t>Kia's Slovakia plant, which accounts for 8.6% of Kia's overseas plants GHG emission has used all 100% renewable energy for its electricity consumption (2022 Sustainability Report, p67, p68).</t>
    <phoneticPr fontId="3" type="noConversion"/>
  </si>
  <si>
    <t>Jaguar Land Rover continued to purchase 100% renewable-backed electricity for all its core UK operations (2021-22 Integrated Annual Report, p87).</t>
    <phoneticPr fontId="3" type="noConversion"/>
  </si>
  <si>
    <t>No specific requirement on the usage of renewable electricity for all suppliers. 
Mercedes-Benz signed agreements with its strategic battery cell partners for the procurement of battery cells whose production is CO2 neutral. Two of these partners began to supply Mercedes-Benz in 2021, commencing with battery cells for the EQS (2022 Sustainability Report, p146, p166).</t>
    <phoneticPr fontId="3" type="noConversion"/>
  </si>
  <si>
    <t>In North America, Battery Resourcers announced an agreement with American Honda Motor Co. to recycle Honda &amp; Acura Electric Vehicles (EV) batteries. 
(Source: CISION Pressnewswire. Battery Resourcers Signs Agreement with Honda to Recycle Lithium-ion Batteries. (June 2021). Retrieved from https://www.prnewswire.com/news-releases/battery-resourcers-signs-agreement-with-honda-to-recycle-lithium-ion-batteries-301320458.html).</t>
    <phoneticPr fontId="3" type="noConversion"/>
  </si>
  <si>
    <t>Battery recycling and repurposing</t>
    <phoneticPr fontId="3" type="noConversion"/>
  </si>
  <si>
    <t>ZEV executive compensation</t>
    <phoneticPr fontId="3" type="noConversion"/>
  </si>
  <si>
    <t>The tab provides the underlying information on ZEV investment, PHEV adjustment factor, and LDV sales to calculate the ZEV investment per vehicle sold and investment in infrastructure (charging).</t>
    <phoneticPr fontId="3" type="noConversion"/>
  </si>
  <si>
    <t>Sales-weighted average driving range (km)</t>
    <phoneticPr fontId="3" type="noConversion"/>
  </si>
  <si>
    <t>Maximum average (sales-weighted)</t>
    <phoneticPr fontId="3" type="noConversion"/>
  </si>
  <si>
    <t>Since 2022, Volkswagen Group (VW) changed the contractual decarbonization requirements for suppliers of high voltage battery cells. Initially, tier 1 battery cell suppliers for VW were contractually obliged to use renewable electricity. VW now moved from a singular (Tier 1) perspective on renewable energy usage to a holistic and ambitious product carbon footprint which includes upstream supply chain emissions. To meet this product carbon footprint target, the supplier needs, among others, to use renewable energy but it is not specifically required. Further process optimizations that lower carbon footprints, are also eligible.</t>
    <phoneticPr fontId="3" type="noConversion"/>
  </si>
  <si>
    <t xml:space="preserve">No specific requirement on the usage of renewable electricity for all suppliers. 
Geely required suppliers to reduce the life cycle carbon emission of power battery by more than 25% by 2025, and to provide renewable electricity and energy improvement plans (2021 Environmental, Social and Governance Report, p26, p71). 
Volvo Cars required suppliers to disclose data on emissions and energy use specific to each manufacturing site and location (2021 Annual and Sustainability Report, p157).
Volvo Cars announced a collaboration with Northvolt, a leading European battery company, for the joint development and production of sustainable batteries. These batteries, planned to be built using 100 percent climate neutral energy, will be specifically developed for the next generation of  Volvo and Polestar cars (2021 Annual and Sustainability Report, p23).
</t>
    <phoneticPr fontId="3" type="noConversion"/>
  </si>
  <si>
    <t>BMW entered into contractual agreements with battery cell manufacturers to use only energy generated from renewable sources to produce the current generation of battery cells. In 2021, the BMW Group also introduced green electricity as a mandatory criterion for awarding new contracts in its supply chain – and has already concluded green electricity agreements in the awarding of 427 orders, particularly with upstream suppliers of energy-intensive products. (2021 Sustainability Report, p79).
BMW Brilliance initiated the BMW Green Power Alliance in 2021 to accelerate renewable electricity adoption across the entire value chain, including at production, supply chain, dealerships and non-production sites. 
(BMW Brilliance Automotive Sustainability Report, p13, p18).</t>
    <phoneticPr fontId="3" type="noConversion"/>
  </si>
  <si>
    <t xml:space="preserve">A total of 44 production sites within the EU and 18 sites outside of the EU were fully converted to an external electricity supply generated from renewable energies. In 2022, 54% of the VW's total global electricity consumption at its production sites (including China) was covered by electricity from renewable sources. Compared with the previous year. VW is currently working together with its Chinese partners to develop their own targets for the Chinese production sites (2022 Sustainability Report, p42, p45).
Nine production sites are already operated on a carbon-neutral basis including compensation measures: including production for Audi, Volkswagen, Porsche, Bentley Motors, SKODA, Lamborghini. (2022 Sustainability Report, p42). Further progress is being made in supplying clients with electricity from renewable energies. For example, the percentage of electricity purchased externally rose from 93.3% to 99.6% at EU production sites within one year. By 2023, all EU sites are to be supplied with 100% electricity from renewable sources. By 2030, the same target is planned for all global sites outside China. (2022 Sustainability Report, p44).
</t>
    <phoneticPr fontId="3" type="noConversion"/>
  </si>
  <si>
    <t>By the end of 2022, 42.6% of total electricity consumed at global manufacturing facilities was from renewable sources. This percentage is  the total renewable electricity consumed, not the percentage of sites that use renewable electricity (2022 Integrated Sustainability and Financial Report, p91).
In Europe,  all purchased electricity for manufacturing is now renewable including in Dunton and Daventry in the U.K., the Craiova plant in Romania, and all facilities in Cologne, Germany including the vehicle assembly and engine plants, as well as the Research Center in Merkenich. All manufacturing facilities in Ohio, New York, and Mexico were sourced with 100% carbon-free electricity (2022 Integrated Sustainability and Financial Report, p91).</t>
    <phoneticPr fontId="3" type="noConversion"/>
  </si>
  <si>
    <t>No specific requirement on the usage of renewable electricity for all suppliers. 
Ford does not currently require battery suppliers to use renewable electricity in their production. Ford established the Supplier Code of Conduct which requires suppliers to establish science-based GHG reduction targets, action plans, and transparent reporting mechanisms aligned with the Paris Agreement to minimize their impact on climate change. In 2022, Ford announced strategic partnership with Manufacture 2030 to enhance supply chain sustainability. (2022 Ford Integrated Sustainability and Financial Report, p85).</t>
    <phoneticPr fontId="3" type="noConversion"/>
  </si>
  <si>
    <t>No specific requirement on the usage of renewable electricity for all suppliers. 
Hyundai conducted investigation of GHG emissions by tier 1 suppliers, and reviewed major companies' reduction plans. (2021 Sustainability Report, p10)
Kia established evaluation of ESG performance for global tier 1 suppliers and establishing plans for improvement (2022 Sustainability Report, p14).</t>
    <phoneticPr fontId="3" type="noConversion"/>
  </si>
  <si>
    <t>No specific requirement on the usage of renewable electricity for all suppliers. 
Toyota asks all tier 1 suppliers, including new suppliers, to implement initiatives based on the Toyota Green Purchasing Guidelines and also deploy and enlighten the guidelines to all tier 2 and subsequent suppliers. In April 2021, Toyota Motor North America (TMNA), updated the existing guidelines and issued the Green Supplier Requirements. TMNA is reinforcing environmental management by including in the terms and conditions on compliance with requirements such as CO2 reductions (2022 Environmental Report, p22).</t>
    <phoneticPr fontId="3" type="noConversion"/>
  </si>
  <si>
    <t>Volvo Cars required suppliers to disclose data on emissions and energy use specific to each manufacturing site and location. (2021 Annual and Sustainability Report, p157).
Volvo Cars announced a collaboration with Northvolt, a leading European battery company, for the joint development and production of sustainable batteries. These batteries, planned to be built using 100 percent climate neutral energy, will be specifically developed for the next generation of Volvo and Polestar cars (2021 Annual and Sustainability Report, p23).</t>
    <phoneticPr fontId="3" type="noConversion"/>
  </si>
  <si>
    <t>In partnership with Hyundai GLOVIS, Hyundai Motor is building up a global network and transportation control system to collect and transport used batteries discharged from various places including junkyards and dealers around the world. Hyundai Motor also has a remanufacturing business for after sales service. The high-quality second-life batteries generated by battery lifecycle are linked to Hyundai MOBIS remanufacturing business. Hyundai MOBIS uses the domestic and global after-sales parts supply chains to remanufacture purchased/collected second-life batteries into batteries for old vehicles, and provides an aftersales service (2021 Sustainability Report, p27).
Hyundai Motor conducted pilot projects to reuse second-life EV batteries for energy storage system (ESS) since 2020. The Ulsan plants pilot project showcases renewable energy power plant model, which combines a solar power plant on a temporary parking lot for produced vehicles with an ESS that reuses second life batteries (2021 Sustainability Report, p27).
Hyundai Motor signed a preliminary agreement with US national utility company CPS Energy and Texas-based alternative energy company OCI Solar Power to begin testing used electric vehicle (EV) batteries for solar energy storage. Under the agreement the partners plan to install energy storage systems (ESS) developed by the automaker in buildings by September 2022. 
(Source: Just Auto News (Sept 2021). Retrieved from https://www.koreatimes.co.kr/www/tech/2022/09/419_336115.html)
Kia launched a formal TFT in 2022 to establish a cooperative system with group companies throughout the battery lifecycle, inspecting front-to-back business and developing advanced technologies (2022 Sustainability Report, p37).
Kia is part of Hyundai GLOVIS, a global network platform and transportation control system to systematically collect and transport used batteries discharged from various places such as junkyards and dealers around the world. Batteries with excellent residual performance among used batteries in electric vehicles can be reused as UBESS (Used Battery Energy Storage System). Further, the highest quality waste batteries generated from Kia's battery lifecycle are linked to Hyundai MOBIS' remanufacturing business according to its own classification criteria. Waste batteries that cannot be remanufactured or reused are disassembled and linked to a recycling business that extracts valuable metals such as lithium, cobalt, and nickel (2022 Sustainability Report, p37).
Kia signed a contract to supply waste batteries with a German state-owned railway company and Kia Europe Corp. signed a contract to supply waste batteries collected from its electric vehicles (EV) sold in Europe to Encore, an energy storage system (ESS) startup of German state-owned railway company Deutsche Bahn (DB) (The Korean Times, September 2022).</t>
    <phoneticPr fontId="3" type="noConversion"/>
  </si>
  <si>
    <t xml:space="preserve">Tata Motors through Tata Chemicals is developing battery cell development and local manufacturing including working with technical partner for evaluating the establishment of Lithium-ion cell manufacturing plan and conducting operation for pilot plant for Li-on battery recycling. (2021-22 Integrated Annual Report, p27)
JLR announced the investment in BatteryResources, a lithium ion battery recycling and materials company in 2021. The company holds the exclusive licence for an innovative closed-loop process that integrates battery recycling, refining and materials engineering to convert scrap end-of-life batteries into new materials that can be used to make new batteries.
(Source: Jaguar Land Rover press release. Jaguar Land Rover press release. Jaguar Land Rover's In Motion Ventures Investes in Battery Recycling and Manufacturing Technology. (April 2021). Retrieved from https://media.jaguarlandrover.com/news/2021/04/jaguar-land-rovers-inmotion-ventures-invests-battery-recycling-and-manufacturing). 
JLR has partnered with Pramac in 2022 to develop a portable zero-emission energy storage unit powered by second-life Jaguar I-PACE batteries.
(Source: Jaguar Land Rover press release. JAGUAR LAND ROVER GIVES SECOND LIFE TO I-PACE BATTERIES. (March 20212). Retrieved from https://www.jaguarlandrover.com/news/2022/03/jaguar-land-rover-gives-second-life-i-pace-batteries). 
</t>
    <phoneticPr fontId="3" type="noConversion"/>
  </si>
  <si>
    <t xml:space="preserve">Nissan is in conjunction with 4R Energy Corporation to create secondary usage method business models compatible with the capacity changes of individual Nissan EVs and batteries that will be fully utilized (cascade reuse) throughout the EV life cycle as fixed storage batteries in Japan (2022 Sustainability Report, p48).
Nissan worked with the East Japan Railway Company in Japan to introduce recycled lithium ion storage batteries (EneHand Green) as a power source for railroad crossing security equipment, reusing modules from the 24kWh used batteries in the Nissan LEAF (2022 Sustainability Report, p50).
Nissan developed second life EV batteries opportunies such as energy storage for ultimate sustainability at the EV36Zero, Nissan's first hub for EV ecocsystem in Sunderland, UK (2022 Sustainability Report, p56).
</t>
    <phoneticPr fontId="3" type="noConversion"/>
  </si>
  <si>
    <t xml:space="preserve">JLR announced the investment in BatteryResources, a lithium ion battery recycling and materials company in 2021. The company holds the exclusive licence for an innovative closed-loop process that integrates battery recycling, refining and materials engineering to convert scrap end-of-life batteries into new materials that can be used to make new batteries.
(Source: Jaguar Land Rover press release. Jaguar Land Rover's In Motion Ventures Investes in Battery Recycling and Manufacturing Technology.(April 2021). Retrieved from https://media.jaguarlandrover.com/news/2021/04/jaguar-land-rovers-inmotion-ventures-invests-battery-recycling-and-manufacturing). 
JLR has partnered with Pramac in 2022 to develop a portable zero-emission energy storage unit powered by second-life Jaguar I-PACE batteries.
(Source: Jaguar Land Rover press release. JAGUAR LAND ROVER GIVES SECOND LIFE TO I-PACE BATTERIES. (March 20212). Retrieved from https://www.jaguarlandrover.com/news/2022/03/jaguar-land-rover-gives-second-life-i-pace-batteries). </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</si>
</sst>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_(* \(#,##0.00\);_(* &quot;-&quot;??_);_(@_)"/>
    <numFmt numFmtId="176" formatCode="_(* #,##0_);_(* \(#,##0\);_(* &quot;-&quot;??_);_(@_)"/>
    <numFmt numFmtId="177" formatCode="0.0%"/>
    <numFmt numFmtId="178" formatCode="0.0"/>
    <numFmt numFmtId="179" formatCode="0.00_);[Red]\(0.00\)"/>
    <numFmt numFmtId="180" formatCode="_-* #,##0.00_-;\-* #,##0.00_-;_-* &quot;-&quot;??_-;_-@"/>
    <numFmt numFmtId="181" formatCode="0_);[Red]\(0\)"/>
    <numFmt numFmtId="182" formatCode="_(* #,##0.0_);_(* \(#,##0.0\);_(* &quot;-&quot;??_);_(@_)"/>
    <numFmt numFmtId="183" formatCode="0.000%"/>
  </numFmts>
  <fonts count="69">
    <font>
      <sz val="12"/>
      <color theme="1"/>
      <name val="等线"/>
      <family val="2"/>
      <charset val="134"/>
      <scheme val="minor"/>
    </font>
    <font>
      <sz val="12"/>
      <color theme="1"/>
      <name val="等线"/>
      <family val="2"/>
      <scheme val="minor"/>
    </font>
    <font>
      <b/>
      <sz val="12"/>
      <color theme="1"/>
      <name val="等线"/>
      <family val="2"/>
      <charset val="128"/>
      <scheme val="minor"/>
    </font>
    <font>
      <sz val="9"/>
      <name val="等线"/>
      <family val="2"/>
      <charset val="134"/>
      <scheme val="minor"/>
    </font>
    <font>
      <sz val="9"/>
      <name val="等线"/>
      <family val="3"/>
      <charset val="134"/>
      <scheme val="minor"/>
    </font>
    <font>
      <sz val="12"/>
      <color theme="1"/>
      <name val="等线"/>
      <family val="2"/>
      <charset val="128"/>
      <scheme val="minor"/>
    </font>
    <font>
      <sz val="12"/>
      <color theme="1"/>
      <name val="等线"/>
      <family val="2"/>
      <charset val="134"/>
      <scheme val="minor"/>
    </font>
    <font>
      <b/>
      <sz val="12"/>
      <color theme="1"/>
      <name val="等线"/>
      <family val="4"/>
      <charset val="134"/>
      <scheme val="minor"/>
    </font>
    <font>
      <u/>
      <sz val="12"/>
      <color theme="10"/>
      <name val="等线"/>
      <family val="2"/>
      <charset val="134"/>
      <scheme val="minor"/>
    </font>
    <font>
      <sz val="12"/>
      <color theme="1"/>
      <name val="等线"/>
      <family val="4"/>
      <charset val="134"/>
      <scheme val="minor"/>
    </font>
    <font>
      <sz val="12"/>
      <color theme="1"/>
      <name val="Calibri"/>
      <family val="2"/>
    </font>
    <font>
      <b/>
      <sz val="12"/>
      <color theme="1"/>
      <name val="Calibri"/>
      <family val="2"/>
    </font>
    <font>
      <sz val="12"/>
      <name val="Calibri"/>
      <family val="2"/>
    </font>
    <font>
      <sz val="12"/>
      <color theme="6"/>
      <name val="Calibri"/>
      <family val="2"/>
    </font>
    <font>
      <sz val="12"/>
      <color theme="0" tint="-0.499984740745262"/>
      <name val="Calibri"/>
      <family val="2"/>
    </font>
    <font>
      <sz val="12"/>
      <color theme="5"/>
      <name val="Calibri"/>
      <family val="2"/>
    </font>
    <font>
      <sz val="11"/>
      <color theme="1"/>
      <name val="等线"/>
      <family val="2"/>
      <scheme val="minor"/>
    </font>
    <font>
      <u/>
      <sz val="11"/>
      <color theme="10"/>
      <name val="等线"/>
      <family val="2"/>
      <scheme val="minor"/>
    </font>
    <font>
      <sz val="11"/>
      <color theme="1"/>
      <name val="Calibri"/>
      <family val="2"/>
    </font>
    <font>
      <b/>
      <sz val="11"/>
      <color theme="1"/>
      <name val="Calibri"/>
      <family val="2"/>
    </font>
    <font>
      <u/>
      <sz val="12"/>
      <color theme="10"/>
      <name val="等线"/>
      <family val="2"/>
      <scheme val="minor"/>
    </font>
    <font>
      <sz val="12"/>
      <color rgb="FF000000"/>
      <name val="Calibri"/>
      <family val="2"/>
    </font>
    <font>
      <sz val="12"/>
      <color theme="0"/>
      <name val="Calibri"/>
      <family val="2"/>
    </font>
    <font>
      <b/>
      <sz val="12"/>
      <color theme="0"/>
      <name val="Calibri"/>
      <family val="2"/>
    </font>
    <font>
      <sz val="12"/>
      <color theme="0"/>
      <name val="等线"/>
      <family val="4"/>
      <charset val="134"/>
      <scheme val="minor"/>
    </font>
    <font>
      <sz val="11"/>
      <color rgb="FF000000"/>
      <name val="Calibri"/>
      <family val="2"/>
    </font>
    <font>
      <sz val="12"/>
      <color theme="5"/>
      <name val="等线"/>
      <family val="2"/>
      <charset val="134"/>
      <scheme val="minor"/>
    </font>
    <font>
      <b/>
      <sz val="12"/>
      <color theme="8"/>
      <name val="Calibri"/>
      <family val="2"/>
    </font>
    <font>
      <b/>
      <sz val="14"/>
      <color theme="1"/>
      <name val="Calibri"/>
      <family val="2"/>
    </font>
    <font>
      <b/>
      <sz val="11"/>
      <color theme="0"/>
      <name val="Calibri"/>
      <family val="2"/>
    </font>
    <font>
      <b/>
      <sz val="12"/>
      <color theme="0"/>
      <name val="等线"/>
      <family val="4"/>
      <charset val="134"/>
      <scheme val="minor"/>
    </font>
    <font>
      <b/>
      <sz val="16"/>
      <color theme="5"/>
      <name val="Calibri"/>
      <family val="2"/>
    </font>
    <font>
      <sz val="12"/>
      <color theme="0"/>
      <name val="等线"/>
      <family val="2"/>
      <charset val="134"/>
      <scheme val="minor"/>
    </font>
    <font>
      <b/>
      <sz val="18"/>
      <color theme="5"/>
      <name val="Calibri"/>
      <family val="2"/>
    </font>
    <font>
      <b/>
      <sz val="12"/>
      <color theme="8"/>
      <name val="Calibri"/>
      <family val="2"/>
    </font>
    <font>
      <b/>
      <sz val="12"/>
      <color theme="9"/>
      <name val="Calibri"/>
      <family val="2"/>
    </font>
    <font>
      <b/>
      <sz val="12"/>
      <color theme="6"/>
      <name val="Calibri"/>
      <family val="2"/>
    </font>
    <font>
      <sz val="12"/>
      <color theme="1"/>
      <name val="Calibri"/>
      <family val="2"/>
    </font>
    <font>
      <sz val="11"/>
      <color theme="1"/>
      <name val="Calibri"/>
      <family val="2"/>
    </font>
    <font>
      <sz val="12"/>
      <color rgb="FF000000"/>
      <name val="等线"/>
      <family val="2"/>
      <charset val="134"/>
      <scheme val="minor"/>
    </font>
    <font>
      <sz val="12"/>
      <name val="等线"/>
      <family val="4"/>
      <charset val="134"/>
      <scheme val="minor"/>
    </font>
    <font>
      <sz val="12"/>
      <color theme="1"/>
      <name val="Calibri"/>
      <family val="2"/>
      <charset val="134"/>
    </font>
    <font>
      <sz val="12"/>
      <color rgb="FFFFFFFF"/>
      <name val="Calibri"/>
      <family val="2"/>
    </font>
    <font>
      <sz val="12"/>
      <color rgb="FFF2F2F2"/>
      <name val="Calibri"/>
      <family val="2"/>
    </font>
    <font>
      <i/>
      <sz val="11"/>
      <color theme="1"/>
      <name val="Helvetica"/>
      <family val="2"/>
    </font>
    <font>
      <sz val="11"/>
      <color theme="1"/>
      <name val="Helvetica"/>
      <family val="2"/>
    </font>
    <font>
      <b/>
      <sz val="8"/>
      <color rgb="FFFFFFFF"/>
      <name val="Helvetica"/>
      <family val="2"/>
    </font>
    <font>
      <b/>
      <sz val="8"/>
      <color theme="0"/>
      <name val="Calibri"/>
      <family val="2"/>
    </font>
    <font>
      <b/>
      <vertAlign val="superscript"/>
      <sz val="8"/>
      <color rgb="FFFFFFFF"/>
      <name val="Helvetica"/>
      <family val="2"/>
    </font>
    <font>
      <sz val="8"/>
      <color rgb="FF000000"/>
      <name val="Helvetica"/>
      <family val="2"/>
    </font>
    <font>
      <sz val="8"/>
      <name val="Helvetica"/>
      <family val="2"/>
    </font>
    <font>
      <sz val="8"/>
      <color theme="1"/>
      <name val="Helvetica"/>
      <family val="2"/>
    </font>
    <font>
      <b/>
      <sz val="12"/>
      <color rgb="FFFFFFFF"/>
      <name val="Helvetica"/>
      <family val="2"/>
    </font>
    <font>
      <sz val="12"/>
      <color theme="1"/>
      <name val="Helvetica"/>
      <family val="2"/>
    </font>
    <font>
      <sz val="12"/>
      <color rgb="FF000000"/>
      <name val="Helvetica"/>
      <family val="2"/>
    </font>
    <font>
      <sz val="12"/>
      <color theme="1"/>
      <name val="等线 (Body)"/>
      <family val="3"/>
      <charset val="134"/>
    </font>
    <font>
      <b/>
      <sz val="16"/>
      <color theme="5"/>
      <name val="等线"/>
      <family val="4"/>
      <charset val="134"/>
      <scheme val="minor"/>
    </font>
    <font>
      <b/>
      <sz val="12"/>
      <color theme="1"/>
      <name val="等线"/>
      <family val="3"/>
    </font>
    <font>
      <i/>
      <sz val="12"/>
      <color theme="1"/>
      <name val="Calibri"/>
      <family val="2"/>
    </font>
    <font>
      <i/>
      <sz val="12"/>
      <color rgb="FF000000"/>
      <name val="Calibri"/>
      <family val="2"/>
    </font>
    <font>
      <b/>
      <sz val="8"/>
      <color theme="0"/>
      <name val="Helvetica"/>
      <family val="2"/>
    </font>
    <font>
      <sz val="8"/>
      <color theme="0"/>
      <name val="Helvetica"/>
      <family val="2"/>
    </font>
    <font>
      <sz val="11"/>
      <color theme="0"/>
      <name val="等线"/>
      <family val="2"/>
      <scheme val="minor"/>
    </font>
    <font>
      <sz val="11"/>
      <color theme="0"/>
      <name val="等线"/>
      <family val="4"/>
      <charset val="134"/>
      <scheme val="minor"/>
    </font>
    <font>
      <sz val="11"/>
      <color theme="0"/>
      <name val="Calibri"/>
      <family val="2"/>
    </font>
    <font>
      <i/>
      <sz val="8"/>
      <color theme="1"/>
      <name val="Calibri"/>
      <family val="2"/>
    </font>
    <font>
      <b/>
      <sz val="11"/>
      <color theme="0"/>
      <name val="等线"/>
      <family val="4"/>
      <charset val="134"/>
      <scheme val="minor"/>
    </font>
    <font>
      <u/>
      <sz val="8"/>
      <name val="Helvetica"/>
      <family val="2"/>
    </font>
    <font>
      <b/>
      <sz val="12"/>
      <color rgb="FFFFFFFF"/>
      <name val="Calibri"/>
      <family val="2"/>
    </font>
  </fonts>
  <fills count="62">
    <fill>
      <patternFill patternType="none"/>
    </fill>
    <fill>
      <patternFill patternType="gray125"/>
    </fill>
    <fill>
      <patternFill patternType="solid">
        <fgColor rgb="FF45818E"/>
        <bgColor rgb="FF45818E"/>
      </patternFill>
    </fill>
    <fill>
      <patternFill patternType="solid">
        <fgColor theme="9"/>
        <bgColor indexed="64"/>
      </patternFill>
    </fill>
    <fill>
      <patternFill patternType="solid">
        <fgColor theme="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007A94"/>
        <bgColor rgb="FF000000"/>
      </patternFill>
    </fill>
    <fill>
      <patternFill patternType="solid">
        <fgColor theme="0"/>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rgb="FF007A94"/>
        <bgColor indexed="64"/>
      </patternFill>
    </fill>
    <fill>
      <patternFill patternType="solid">
        <fgColor rgb="FFFFE295"/>
        <bgColor rgb="FF000000"/>
      </patternFill>
    </fill>
    <fill>
      <patternFill patternType="solid">
        <fgColor rgb="FFF2F2F2"/>
        <bgColor indexed="64"/>
      </patternFill>
    </fill>
    <fill>
      <patternFill patternType="solid">
        <fgColor rgb="FF8FC0A9"/>
        <bgColor indexed="64"/>
      </patternFill>
    </fill>
    <fill>
      <patternFill patternType="solid">
        <fgColor rgb="FF99C6B1"/>
        <bgColor indexed="64"/>
      </patternFill>
    </fill>
    <fill>
      <patternFill patternType="solid">
        <fgColor rgb="FFAFD2C2"/>
        <bgColor indexed="64"/>
      </patternFill>
    </fill>
    <fill>
      <patternFill patternType="solid">
        <fgColor rgb="FF91C1AA"/>
        <bgColor indexed="64"/>
      </patternFill>
    </fill>
    <fill>
      <patternFill patternType="solid">
        <fgColor rgb="FFD3E7DD"/>
        <bgColor indexed="64"/>
      </patternFill>
    </fill>
    <fill>
      <patternFill patternType="solid">
        <fgColor rgb="FFD9EAE2"/>
        <bgColor indexed="64"/>
      </patternFill>
    </fill>
    <fill>
      <patternFill patternType="solid">
        <fgColor rgb="FFE3EFEA"/>
        <bgColor indexed="64"/>
      </patternFill>
    </fill>
    <fill>
      <patternFill patternType="solid">
        <fgColor rgb="FFE3EFE9"/>
        <bgColor indexed="64"/>
      </patternFill>
    </fill>
    <fill>
      <patternFill patternType="solid">
        <fgColor rgb="FF96C4AF"/>
        <bgColor indexed="64"/>
      </patternFill>
    </fill>
    <fill>
      <patternFill patternType="solid">
        <fgColor rgb="FFE7F2ED"/>
        <bgColor indexed="64"/>
      </patternFill>
    </fill>
    <fill>
      <patternFill patternType="solid">
        <fgColor rgb="FFF6FAF8"/>
        <bgColor indexed="64"/>
      </patternFill>
    </fill>
    <fill>
      <patternFill patternType="solid">
        <fgColor rgb="FFA1CAB7"/>
        <bgColor indexed="64"/>
      </patternFill>
    </fill>
    <fill>
      <patternFill patternType="solid">
        <fgColor rgb="FFADD1C0"/>
        <bgColor indexed="64"/>
      </patternFill>
    </fill>
    <fill>
      <patternFill patternType="solid">
        <fgColor rgb="FFEAF3EF"/>
        <bgColor indexed="64"/>
      </patternFill>
    </fill>
    <fill>
      <patternFill patternType="solid">
        <fgColor rgb="FFFAFCFB"/>
        <bgColor indexed="64"/>
      </patternFill>
    </fill>
    <fill>
      <patternFill patternType="solid">
        <fgColor rgb="FFDCECE4"/>
        <bgColor indexed="64"/>
      </patternFill>
    </fill>
    <fill>
      <patternFill patternType="solid">
        <fgColor rgb="FFCDE3D8"/>
        <bgColor indexed="64"/>
      </patternFill>
    </fill>
    <fill>
      <patternFill patternType="solid">
        <fgColor rgb="FFFCFEFD"/>
        <bgColor indexed="64"/>
      </patternFill>
    </fill>
    <fill>
      <patternFill patternType="solid">
        <fgColor rgb="FFF0F7F4"/>
        <bgColor indexed="64"/>
      </patternFill>
    </fill>
    <fill>
      <patternFill patternType="solid">
        <fgColor rgb="FFA7CEBC"/>
        <bgColor indexed="64"/>
      </patternFill>
    </fill>
    <fill>
      <patternFill patternType="solid">
        <fgColor rgb="FFF8FBFA"/>
        <bgColor indexed="64"/>
      </patternFill>
    </fill>
    <fill>
      <patternFill patternType="solid">
        <fgColor rgb="FFD4E7DE"/>
        <bgColor indexed="64"/>
      </patternFill>
    </fill>
    <fill>
      <patternFill patternType="solid">
        <fgColor rgb="FFB6D6C7"/>
        <bgColor indexed="64"/>
      </patternFill>
    </fill>
    <fill>
      <patternFill patternType="solid">
        <fgColor rgb="FFF0F7F3"/>
        <bgColor indexed="64"/>
      </patternFill>
    </fill>
    <fill>
      <patternFill patternType="solid">
        <fgColor rgb="FFE0EEE7"/>
        <bgColor indexed="64"/>
      </patternFill>
    </fill>
    <fill>
      <patternFill patternType="solid">
        <fgColor rgb="FFF7FBF9"/>
        <bgColor indexed="64"/>
      </patternFill>
    </fill>
    <fill>
      <patternFill patternType="solid">
        <fgColor rgb="FFC7E0D4"/>
        <bgColor indexed="64"/>
      </patternFill>
    </fill>
    <fill>
      <patternFill patternType="solid">
        <fgColor rgb="FFD0E5DB"/>
        <bgColor indexed="64"/>
      </patternFill>
    </fill>
    <fill>
      <patternFill patternType="solid">
        <fgColor rgb="FFF1F7F4"/>
        <bgColor indexed="64"/>
      </patternFill>
    </fill>
    <fill>
      <patternFill patternType="solid">
        <fgColor rgb="FFCCE2D8"/>
        <bgColor indexed="64"/>
      </patternFill>
    </fill>
    <fill>
      <patternFill patternType="solid">
        <fgColor rgb="FFF2F8F5"/>
        <bgColor indexed="64"/>
      </patternFill>
    </fill>
    <fill>
      <patternFill patternType="solid">
        <fgColor rgb="FFDDECE5"/>
        <bgColor indexed="64"/>
      </patternFill>
    </fill>
    <fill>
      <patternFill patternType="solid">
        <fgColor rgb="FFCBE2D7"/>
        <bgColor indexed="64"/>
      </patternFill>
    </fill>
    <fill>
      <patternFill patternType="solid">
        <fgColor rgb="FFFEFFFE"/>
        <bgColor indexed="64"/>
      </patternFill>
    </fill>
    <fill>
      <patternFill patternType="solid">
        <fgColor rgb="FFD1E6DC"/>
        <bgColor indexed="64"/>
      </patternFill>
    </fill>
    <fill>
      <patternFill patternType="solid">
        <fgColor rgb="FFF9FCFB"/>
        <bgColor indexed="64"/>
      </patternFill>
    </fill>
    <fill>
      <patternFill patternType="solid">
        <fgColor rgb="FFEBF4F0"/>
        <bgColor indexed="64"/>
      </patternFill>
    </fill>
    <fill>
      <patternFill patternType="solid">
        <fgColor rgb="FFC6DFD4"/>
        <bgColor indexed="64"/>
      </patternFill>
    </fill>
    <fill>
      <patternFill patternType="solid">
        <fgColor rgb="FFFDFEFE"/>
        <bgColor indexed="64"/>
      </patternFill>
    </fill>
    <fill>
      <patternFill patternType="solid">
        <fgColor rgb="FFD6E8DF"/>
        <bgColor indexed="64"/>
      </patternFill>
    </fill>
    <fill>
      <patternFill patternType="solid">
        <fgColor rgb="FFE9F3EE"/>
        <bgColor indexed="64"/>
      </patternFill>
    </fill>
    <fill>
      <patternFill patternType="solid">
        <fgColor rgb="FFE4F0EB"/>
        <bgColor indexed="64"/>
      </patternFill>
    </fill>
    <fill>
      <patternFill patternType="solid">
        <fgColor rgb="FFF5FAF8"/>
        <bgColor indexed="64"/>
      </patternFill>
    </fill>
    <fill>
      <patternFill patternType="solid">
        <fgColor rgb="FFFEFFFF"/>
        <bgColor indexed="64"/>
      </patternFill>
    </fill>
    <fill>
      <patternFill patternType="solid">
        <fgColor theme="0" tint="-4.9989318521683403E-2"/>
        <bgColor rgb="FF000000"/>
      </patternFill>
    </fill>
    <fill>
      <patternFill patternType="solid">
        <fgColor theme="5" tint="-0.249977111117893"/>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style="thin">
        <color rgb="FF000000"/>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ck">
        <color theme="0"/>
      </left>
      <right style="thick">
        <color theme="0"/>
      </right>
      <top/>
      <bottom style="thin">
        <color theme="0"/>
      </bottom>
      <diagonal/>
    </border>
    <border>
      <left style="thick">
        <color theme="0"/>
      </left>
      <right style="thick">
        <color theme="0"/>
      </right>
      <top/>
      <bottom style="dotted">
        <color theme="0" tint="-0.14996795556505021"/>
      </bottom>
      <diagonal/>
    </border>
    <border>
      <left style="thick">
        <color theme="0"/>
      </left>
      <right style="thick">
        <color theme="0"/>
      </right>
      <top style="thick">
        <color theme="0"/>
      </top>
      <bottom style="dotted">
        <color theme="0" tint="-0.24994659260841701"/>
      </bottom>
      <diagonal/>
    </border>
    <border>
      <left style="thick">
        <color theme="0"/>
      </left>
      <right style="thick">
        <color theme="0"/>
      </right>
      <top style="thick">
        <color theme="0"/>
      </top>
      <bottom/>
      <diagonal/>
    </border>
    <border>
      <left style="thick">
        <color theme="0"/>
      </left>
      <right/>
      <top style="hair">
        <color theme="3" tint="0.59996337778862885"/>
      </top>
      <bottom style="hair">
        <color theme="3" tint="0.59996337778862885"/>
      </bottom>
      <diagonal/>
    </border>
    <border>
      <left style="thick">
        <color theme="0"/>
      </left>
      <right/>
      <top/>
      <bottom style="hair">
        <color theme="3" tint="0.59996337778862885"/>
      </bottom>
      <diagonal/>
    </border>
    <border>
      <left/>
      <right style="thick">
        <color theme="0"/>
      </right>
      <top/>
      <bottom style="hair">
        <color theme="3" tint="0.59996337778862885"/>
      </bottom>
      <diagonal/>
    </border>
    <border>
      <left/>
      <right style="thin">
        <color theme="3" tint="0.59996337778862885"/>
      </right>
      <top/>
      <bottom/>
      <diagonal/>
    </border>
    <border>
      <left style="thin">
        <color theme="3" tint="0.59996337778862885"/>
      </left>
      <right/>
      <top/>
      <bottom/>
      <diagonal/>
    </border>
    <border>
      <left/>
      <right style="thin">
        <color theme="3" tint="0.59996337778862885"/>
      </right>
      <top/>
      <bottom style="thin">
        <color theme="3" tint="0.59996337778862885"/>
      </bottom>
      <diagonal/>
    </border>
    <border>
      <left style="thin">
        <color theme="3" tint="0.59996337778862885"/>
      </left>
      <right style="thin">
        <color theme="3" tint="0.59996337778862885"/>
      </right>
      <top/>
      <bottom style="thin">
        <color theme="3" tint="0.59996337778862885"/>
      </bottom>
      <diagonal/>
    </border>
    <border>
      <left style="thick">
        <color theme="0"/>
      </left>
      <right/>
      <top style="thin">
        <color theme="3" tint="0.59996337778862885"/>
      </top>
      <bottom style="hair">
        <color theme="3" tint="0.59996337778862885"/>
      </bottom>
      <diagonal/>
    </border>
    <border>
      <left/>
      <right style="thick">
        <color theme="0"/>
      </right>
      <top style="thin">
        <color theme="3" tint="0.59996337778862885"/>
      </top>
      <bottom style="hair">
        <color theme="3" tint="0.59996337778862885"/>
      </bottom>
      <diagonal/>
    </border>
    <border>
      <left/>
      <right/>
      <top style="hair">
        <color theme="3" tint="0.59996337778862885"/>
      </top>
      <bottom style="hair">
        <color theme="3" tint="0.59996337778862885"/>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theme="0" tint="-0.24994659260841701"/>
      </left>
      <right style="thin">
        <color theme="3" tint="0.59996337778862885"/>
      </right>
      <top style="thin">
        <color theme="0" tint="-0.24994659260841701"/>
      </top>
      <bottom/>
      <diagonal/>
    </border>
    <border>
      <left style="thin">
        <color theme="3" tint="0.59996337778862885"/>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style="thin">
        <color theme="3" tint="0.59996337778862885"/>
      </right>
      <top/>
      <bottom/>
      <diagonal/>
    </border>
    <border>
      <left/>
      <right style="thin">
        <color theme="0" tint="-0.24994659260841701"/>
      </right>
      <top/>
      <bottom/>
      <diagonal/>
    </border>
    <border>
      <left style="thick">
        <color theme="0"/>
      </left>
      <right style="thin">
        <color theme="0" tint="-0.24994659260841701"/>
      </right>
      <top style="hair">
        <color theme="0" tint="-0.24994659260841701"/>
      </top>
      <bottom/>
      <diagonal/>
    </border>
    <border>
      <left style="thick">
        <color theme="0"/>
      </left>
      <right style="thin">
        <color theme="0" tint="-0.24994659260841701"/>
      </right>
      <top/>
      <bottom/>
      <diagonal/>
    </border>
    <border>
      <left style="thick">
        <color theme="0"/>
      </left>
      <right/>
      <top style="thin">
        <color theme="3" tint="0.59996337778862885"/>
      </top>
      <bottom style="thin">
        <color theme="0" tint="-0.24994659260841701"/>
      </bottom>
      <diagonal/>
    </border>
    <border>
      <left/>
      <right style="thick">
        <color theme="0"/>
      </right>
      <top style="thin">
        <color theme="3" tint="0.59996337778862885"/>
      </top>
      <bottom style="thin">
        <color theme="0" tint="-0.24994659260841701"/>
      </bottom>
      <diagonal/>
    </border>
    <border>
      <left style="thick">
        <color theme="0"/>
      </left>
      <right style="thick">
        <color theme="0"/>
      </right>
      <top/>
      <bottom style="thin">
        <color theme="0" tint="-0.24994659260841701"/>
      </bottom>
      <diagonal/>
    </border>
    <border>
      <left style="thick">
        <color theme="0"/>
      </left>
      <right/>
      <top/>
      <bottom style="dotted">
        <color theme="0" tint="-0.14996795556505021"/>
      </bottom>
      <diagonal/>
    </border>
    <border>
      <left style="thick">
        <color theme="0"/>
      </left>
      <right/>
      <top/>
      <bottom style="thin">
        <color theme="0" tint="-0.24994659260841701"/>
      </bottom>
      <diagonal/>
    </border>
    <border>
      <left style="thick">
        <color theme="0"/>
      </left>
      <right/>
      <top style="hair">
        <color theme="3" tint="0.59996337778862885"/>
      </top>
      <bottom/>
      <diagonal/>
    </border>
    <border>
      <left style="thick">
        <color theme="0"/>
      </left>
      <right/>
      <top/>
      <bottom/>
      <diagonal/>
    </border>
    <border>
      <left style="thick">
        <color theme="0"/>
      </left>
      <right/>
      <top style="thin">
        <color theme="3" tint="0.59996337778862885"/>
      </top>
      <bottom/>
      <diagonal/>
    </border>
    <border>
      <left style="thin">
        <color rgb="FF000000"/>
      </left>
      <right/>
      <top/>
      <bottom style="thin">
        <color indexed="64"/>
      </bottom>
      <diagonal/>
    </border>
    <border>
      <left style="thick">
        <color theme="0"/>
      </left>
      <right style="thin">
        <color theme="0" tint="-0.24994659260841701"/>
      </right>
      <top style="hair">
        <color theme="0" tint="-0.24994659260841701"/>
      </top>
      <bottom style="hair">
        <color theme="3" tint="0.79998168889431442"/>
      </bottom>
      <diagonal/>
    </border>
    <border>
      <left style="thick">
        <color theme="0"/>
      </left>
      <right style="thin">
        <color theme="0" tint="-0.24994659260841701"/>
      </right>
      <top style="hair">
        <color theme="3" tint="0.79998168889431442"/>
      </top>
      <bottom style="hair">
        <color theme="3" tint="0.79998168889431442"/>
      </bottom>
      <diagonal/>
    </border>
    <border>
      <left style="thick">
        <color theme="0"/>
      </left>
      <right style="thin">
        <color theme="0" tint="-0.24994659260841701"/>
      </right>
      <top style="hair">
        <color theme="3" tint="0.79998168889431442"/>
      </top>
      <bottom/>
      <diagonal/>
    </border>
    <border>
      <left style="thick">
        <color theme="0"/>
      </left>
      <right style="thin">
        <color theme="0" tint="-0.24994659260841701"/>
      </right>
      <top/>
      <bottom style="thin">
        <color theme="0" tint="-0.24994659260841701"/>
      </bottom>
      <diagonal/>
    </border>
    <border>
      <left style="thick">
        <color theme="0"/>
      </left>
      <right style="thin">
        <color theme="0" tint="-0.24994659260841701"/>
      </right>
      <top/>
      <bottom style="hair">
        <color theme="3" tint="0.79998168889431442"/>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theme="3" tint="0.59996337778862885"/>
      </left>
      <right/>
      <top/>
      <bottom style="thin">
        <color theme="3" tint="0.39994506668294322"/>
      </bottom>
      <diagonal/>
    </border>
    <border>
      <left/>
      <right/>
      <top/>
      <bottom style="thin">
        <color theme="3" tint="0.39994506668294322"/>
      </bottom>
      <diagonal/>
    </border>
    <border>
      <left/>
      <right style="thin">
        <color theme="3" tint="0.59996337778862885"/>
      </right>
      <top/>
      <bottom style="thin">
        <color theme="3" tint="0.39994506668294322"/>
      </bottom>
      <diagonal/>
    </border>
    <border>
      <left style="thick">
        <color theme="0"/>
      </left>
      <right style="thin">
        <color theme="0" tint="-0.24994659260841701"/>
      </right>
      <top/>
      <bottom style="hair">
        <color theme="0" tint="-0.24994659260841701"/>
      </bottom>
      <diagonal/>
    </border>
    <border>
      <left style="thin">
        <color rgb="FF000000"/>
      </left>
      <right/>
      <top style="thin">
        <color indexed="64"/>
      </top>
      <bottom/>
      <diagonal/>
    </border>
  </borders>
  <cellStyleXfs count="11">
    <xf numFmtId="0" fontId="0" fillId="0" borderId="0">
      <alignment vertical="center"/>
    </xf>
    <xf numFmtId="0" fontId="1" fillId="0" borderId="0"/>
    <xf numFmtId="43"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alignment vertical="center"/>
    </xf>
    <xf numFmtId="0" fontId="8" fillId="0" borderId="0" applyNumberFormat="0" applyFill="0" applyBorder="0" applyAlignment="0" applyProtection="0">
      <alignment vertical="center"/>
    </xf>
    <xf numFmtId="43" fontId="6" fillId="0" borderId="0" applyFont="0" applyFill="0" applyBorder="0" applyAlignment="0" applyProtection="0">
      <alignment vertical="center"/>
    </xf>
    <xf numFmtId="0" fontId="16" fillId="0" borderId="0"/>
    <xf numFmtId="43" fontId="16" fillId="0" borderId="0" applyFont="0" applyFill="0" applyBorder="0" applyAlignment="0" applyProtection="0">
      <alignment vertical="center"/>
    </xf>
    <xf numFmtId="0" fontId="17" fillId="0" borderId="0" applyNumberFormat="0" applyFill="0" applyBorder="0" applyAlignment="0" applyProtection="0"/>
    <xf numFmtId="0" fontId="20" fillId="0" borderId="0" applyNumberFormat="0" applyFill="0" applyBorder="0" applyAlignment="0" applyProtection="0"/>
  </cellStyleXfs>
  <cellXfs count="442">
    <xf numFmtId="0" fontId="0" fillId="0" borderId="0" xfId="0">
      <alignment vertical="center"/>
    </xf>
    <xf numFmtId="0" fontId="1" fillId="0" borderId="0" xfId="1"/>
    <xf numFmtId="0" fontId="2" fillId="0" borderId="0" xfId="1" applyFont="1"/>
    <xf numFmtId="0" fontId="7" fillId="0" borderId="0" xfId="0" applyFont="1">
      <alignment vertical="center"/>
    </xf>
    <xf numFmtId="0" fontId="9" fillId="0" borderId="0" xfId="0" applyFont="1">
      <alignment vertical="center"/>
    </xf>
    <xf numFmtId="0" fontId="10" fillId="0" borderId="0" xfId="0" applyFont="1" applyAlignment="1">
      <alignment horizontal="center"/>
    </xf>
    <xf numFmtId="9" fontId="10" fillId="0" borderId="0" xfId="0" applyNumberFormat="1" applyFont="1" applyAlignment="1">
      <alignment horizontal="center"/>
    </xf>
    <xf numFmtId="0" fontId="0" fillId="0" borderId="1" xfId="0" applyBorder="1">
      <alignment vertical="center"/>
    </xf>
    <xf numFmtId="0" fontId="1" fillId="0" borderId="1" xfId="1" applyBorder="1"/>
    <xf numFmtId="0" fontId="16" fillId="0" borderId="6" xfId="1" applyFont="1" applyBorder="1"/>
    <xf numFmtId="177" fontId="0" fillId="0" borderId="0" xfId="3" applyNumberFormat="1" applyFont="1"/>
    <xf numFmtId="0" fontId="16" fillId="0" borderId="0" xfId="1" applyFont="1"/>
    <xf numFmtId="0" fontId="16" fillId="0" borderId="0" xfId="1" applyFont="1" applyAlignment="1">
      <alignment horizontal="right"/>
    </xf>
    <xf numFmtId="0" fontId="12" fillId="0" borderId="0" xfId="0" applyFont="1" applyAlignment="1">
      <alignment horizontal="left" vertical="top"/>
    </xf>
    <xf numFmtId="0" fontId="10" fillId="0" borderId="0" xfId="0" applyFont="1" applyAlignment="1">
      <alignment horizontal="center" vertical="center"/>
    </xf>
    <xf numFmtId="0" fontId="11" fillId="3"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0" fillId="0" borderId="0" xfId="0" applyFont="1">
      <alignment vertical="center"/>
    </xf>
    <xf numFmtId="0" fontId="10" fillId="0" borderId="1" xfId="0" applyFont="1" applyBorder="1" applyAlignment="1">
      <alignment horizontal="left" vertical="center"/>
    </xf>
    <xf numFmtId="9" fontId="10" fillId="0" borderId="0" xfId="4" applyFont="1">
      <alignment vertical="center"/>
    </xf>
    <xf numFmtId="0" fontId="14" fillId="0" borderId="4" xfId="0" applyFont="1" applyBorder="1" applyAlignment="1">
      <alignment horizontal="left" vertical="center"/>
    </xf>
    <xf numFmtId="0" fontId="14" fillId="0" borderId="0" xfId="0" applyFont="1" applyAlignment="1">
      <alignment horizontal="left" vertical="center"/>
    </xf>
    <xf numFmtId="0" fontId="10" fillId="0" borderId="0" xfId="0" applyFont="1" applyAlignment="1">
      <alignment horizontal="left" vertical="center"/>
    </xf>
    <xf numFmtId="0" fontId="18" fillId="0" borderId="0" xfId="1" applyFont="1"/>
    <xf numFmtId="181" fontId="10" fillId="0" borderId="1" xfId="6" applyNumberFormat="1" applyFont="1" applyBorder="1">
      <alignment vertical="center"/>
    </xf>
    <xf numFmtId="181" fontId="10" fillId="0" borderId="1" xfId="0" applyNumberFormat="1" applyFont="1" applyBorder="1">
      <alignment vertical="center"/>
    </xf>
    <xf numFmtId="181" fontId="10" fillId="0" borderId="1" xfId="4" applyNumberFormat="1" applyFont="1" applyBorder="1">
      <alignment vertical="center"/>
    </xf>
    <xf numFmtId="0" fontId="23" fillId="4" borderId="1" xfId="0" applyFont="1" applyFill="1" applyBorder="1" applyAlignment="1">
      <alignment horizontal="center" vertical="center" wrapText="1"/>
    </xf>
    <xf numFmtId="0" fontId="10" fillId="0" borderId="0" xfId="0" applyFont="1" applyAlignment="1">
      <alignment vertical="center" wrapText="1"/>
    </xf>
    <xf numFmtId="181" fontId="10" fillId="0" borderId="0" xfId="4" applyNumberFormat="1" applyFont="1" applyFill="1">
      <alignment vertical="center"/>
    </xf>
    <xf numFmtId="0" fontId="10" fillId="0" borderId="1" xfId="0" applyFont="1" applyBorder="1" applyAlignment="1">
      <alignment horizontal="center" vertical="center"/>
    </xf>
    <xf numFmtId="0" fontId="10" fillId="0" borderId="0" xfId="0" applyFont="1" applyAlignment="1">
      <alignment horizontal="center" vertical="top"/>
    </xf>
    <xf numFmtId="0" fontId="23" fillId="4" borderId="1" xfId="0" applyFont="1" applyFill="1" applyBorder="1" applyAlignment="1">
      <alignment horizontal="center" vertical="center"/>
    </xf>
    <xf numFmtId="0" fontId="18" fillId="0" borderId="0" xfId="7" applyFont="1"/>
    <xf numFmtId="0" fontId="18" fillId="0" borderId="0" xfId="7" applyFont="1" applyAlignment="1">
      <alignment horizontal="center"/>
    </xf>
    <xf numFmtId="0" fontId="18" fillId="0" borderId="1" xfId="7" applyFont="1" applyBorder="1" applyAlignment="1">
      <alignment horizontal="left"/>
    </xf>
    <xf numFmtId="0" fontId="22" fillId="0" borderId="0" xfId="0" applyFont="1">
      <alignment vertical="center"/>
    </xf>
    <xf numFmtId="176" fontId="10" fillId="0" borderId="0" xfId="0" applyNumberFormat="1" applyFont="1">
      <alignment vertical="center"/>
    </xf>
    <xf numFmtId="0" fontId="10" fillId="0" borderId="0" xfId="0" applyFont="1" applyAlignment="1">
      <alignment horizontal="right" vertical="center"/>
    </xf>
    <xf numFmtId="0" fontId="18" fillId="0" borderId="0" xfId="7" applyFont="1" applyAlignment="1">
      <alignment horizontal="center" wrapText="1"/>
    </xf>
    <xf numFmtId="9" fontId="10" fillId="0" borderId="0" xfId="4" applyFont="1" applyAlignment="1">
      <alignment horizontal="right" vertical="center"/>
    </xf>
    <xf numFmtId="177" fontId="10" fillId="0" borderId="0" xfId="0" applyNumberFormat="1" applyFont="1" applyAlignment="1">
      <alignment horizontal="right" vertical="center"/>
    </xf>
    <xf numFmtId="9" fontId="10" fillId="0" borderId="0" xfId="4" applyFont="1" applyAlignment="1">
      <alignment horizontal="center"/>
    </xf>
    <xf numFmtId="9" fontId="10" fillId="0" borderId="1" xfId="4" applyFont="1" applyFill="1" applyBorder="1" applyAlignment="1">
      <alignment horizontal="center" vertical="center"/>
    </xf>
    <xf numFmtId="0" fontId="22" fillId="11" borderId="13" xfId="0" applyFont="1" applyFill="1" applyBorder="1" applyAlignment="1">
      <alignment horizontal="left" vertical="center"/>
    </xf>
    <xf numFmtId="1" fontId="10" fillId="0" borderId="14" xfId="0" applyNumberFormat="1" applyFont="1" applyBorder="1" applyAlignment="1">
      <alignment horizontal="center" vertical="center"/>
    </xf>
    <xf numFmtId="181" fontId="10" fillId="0" borderId="0" xfId="0" applyNumberFormat="1" applyFont="1">
      <alignment vertical="center"/>
    </xf>
    <xf numFmtId="0" fontId="11" fillId="0" borderId="0" xfId="0" applyFont="1">
      <alignment vertical="center"/>
    </xf>
    <xf numFmtId="0" fontId="11" fillId="0" borderId="16" xfId="0" applyFont="1" applyBorder="1" applyAlignment="1">
      <alignment horizontal="center" vertical="center"/>
    </xf>
    <xf numFmtId="1" fontId="28" fillId="0" borderId="14" xfId="0" applyNumberFormat="1" applyFont="1" applyBorder="1" applyAlignment="1">
      <alignment horizontal="center" vertical="center"/>
    </xf>
    <xf numFmtId="179" fontId="10" fillId="0" borderId="0" xfId="0" applyNumberFormat="1" applyFont="1">
      <alignment vertical="center"/>
    </xf>
    <xf numFmtId="1" fontId="10" fillId="0" borderId="0" xfId="0" applyNumberFormat="1" applyFont="1">
      <alignment vertical="center"/>
    </xf>
    <xf numFmtId="179" fontId="13" fillId="0" borderId="0" xfId="0" applyNumberFormat="1" applyFont="1">
      <alignment vertical="center"/>
    </xf>
    <xf numFmtId="0" fontId="10" fillId="0" borderId="23" xfId="0" applyFont="1" applyBorder="1" applyAlignment="1">
      <alignment horizontal="center" vertical="center" wrapText="1"/>
    </xf>
    <xf numFmtId="0" fontId="11" fillId="0" borderId="23" xfId="0" applyFont="1" applyBorder="1" applyAlignment="1">
      <alignment horizontal="center" vertical="center" wrapText="1"/>
    </xf>
    <xf numFmtId="181" fontId="10" fillId="0" borderId="24" xfId="0" applyNumberFormat="1" applyFont="1" applyBorder="1" applyAlignment="1">
      <alignment horizontal="center" vertical="center"/>
    </xf>
    <xf numFmtId="181" fontId="10" fillId="0" borderId="25" xfId="0" applyNumberFormat="1" applyFont="1" applyBorder="1" applyAlignment="1">
      <alignment horizontal="center" vertical="center"/>
    </xf>
    <xf numFmtId="181" fontId="10" fillId="0" borderId="17" xfId="0" applyNumberFormat="1" applyFont="1" applyBorder="1" applyAlignment="1">
      <alignment horizontal="center" vertical="center"/>
    </xf>
    <xf numFmtId="181" fontId="10" fillId="0" borderId="26" xfId="0" applyNumberFormat="1" applyFont="1" applyBorder="1" applyAlignment="1">
      <alignment horizontal="center" vertical="center"/>
    </xf>
    <xf numFmtId="0" fontId="29" fillId="4" borderId="1" xfId="7" applyFont="1" applyFill="1" applyBorder="1" applyAlignment="1">
      <alignment horizontal="center" vertical="center" wrapText="1"/>
    </xf>
    <xf numFmtId="181" fontId="10" fillId="0" borderId="0" xfId="6" applyNumberFormat="1" applyFont="1" applyAlignment="1">
      <alignment horizontal="right" vertical="center"/>
    </xf>
    <xf numFmtId="181" fontId="10" fillId="0" borderId="0" xfId="6" applyNumberFormat="1" applyFont="1">
      <alignment vertical="center"/>
    </xf>
    <xf numFmtId="176" fontId="0" fillId="0" borderId="0" xfId="6" applyNumberFormat="1" applyFont="1" applyBorder="1">
      <alignment vertical="center"/>
    </xf>
    <xf numFmtId="181" fontId="10" fillId="0" borderId="37" xfId="0" applyNumberFormat="1" applyFont="1" applyBorder="1" applyAlignment="1">
      <alignment horizontal="center" vertical="center"/>
    </xf>
    <xf numFmtId="181" fontId="10" fillId="0" borderId="38" xfId="0" applyNumberFormat="1" applyFont="1" applyBorder="1" applyAlignment="1">
      <alignment horizontal="center" vertical="center"/>
    </xf>
    <xf numFmtId="1" fontId="10" fillId="0" borderId="39" xfId="0" applyNumberFormat="1" applyFont="1" applyBorder="1" applyAlignment="1">
      <alignment horizontal="center" vertical="center"/>
    </xf>
    <xf numFmtId="0" fontId="10" fillId="0" borderId="1" xfId="0" applyFont="1" applyBorder="1" applyAlignment="1">
      <alignment vertical="top" wrapText="1"/>
    </xf>
    <xf numFmtId="1" fontId="10" fillId="0" borderId="40" xfId="0" applyNumberFormat="1" applyFont="1" applyBorder="1" applyAlignment="1">
      <alignment horizontal="center" vertical="center"/>
    </xf>
    <xf numFmtId="1" fontId="10" fillId="0" borderId="41" xfId="0" applyNumberFormat="1" applyFont="1" applyBorder="1" applyAlignment="1">
      <alignment horizontal="center" vertical="center"/>
    </xf>
    <xf numFmtId="0" fontId="21" fillId="0" borderId="1" xfId="0" applyFont="1" applyBorder="1" applyAlignment="1">
      <alignment horizontal="left" vertical="center"/>
    </xf>
    <xf numFmtId="43" fontId="10" fillId="0" borderId="0" xfId="6" applyFont="1">
      <alignment vertical="center"/>
    </xf>
    <xf numFmtId="179" fontId="10" fillId="0" borderId="0" xfId="6" applyNumberFormat="1" applyFont="1" applyAlignment="1">
      <alignment horizontal="right" vertical="center"/>
    </xf>
    <xf numFmtId="181" fontId="10" fillId="0" borderId="2" xfId="6" applyNumberFormat="1" applyFont="1" applyBorder="1">
      <alignment vertical="center"/>
    </xf>
    <xf numFmtId="0" fontId="0" fillId="0" borderId="0" xfId="0" applyAlignment="1">
      <alignment horizontal="center" vertical="center"/>
    </xf>
    <xf numFmtId="0" fontId="15" fillId="0" borderId="15" xfId="0" applyFont="1" applyBorder="1" applyAlignment="1">
      <alignment horizontal="center" vertical="center" wrapText="1"/>
    </xf>
    <xf numFmtId="0" fontId="26" fillId="0" borderId="15" xfId="0" applyFont="1" applyBorder="1" applyAlignment="1">
      <alignment horizontal="center" vertical="center" wrapText="1"/>
    </xf>
    <xf numFmtId="1" fontId="10" fillId="0" borderId="0" xfId="6" applyNumberFormat="1" applyFont="1">
      <alignment vertical="center"/>
    </xf>
    <xf numFmtId="0" fontId="15" fillId="0" borderId="15" xfId="0" applyFont="1" applyBorder="1" applyAlignment="1">
      <alignment vertical="center" wrapText="1"/>
    </xf>
    <xf numFmtId="9" fontId="16" fillId="0" borderId="10" xfId="1" applyNumberFormat="1" applyFont="1" applyBorder="1" applyAlignment="1">
      <alignment horizontal="right"/>
    </xf>
    <xf numFmtId="181" fontId="37" fillId="0" borderId="0" xfId="0" applyNumberFormat="1" applyFont="1">
      <alignment vertical="center"/>
    </xf>
    <xf numFmtId="9" fontId="18" fillId="0" borderId="1" xfId="4" applyFont="1" applyFill="1" applyBorder="1" applyAlignment="1"/>
    <xf numFmtId="9" fontId="1" fillId="0" borderId="0" xfId="4" applyFont="1" applyAlignment="1"/>
    <xf numFmtId="0" fontId="16" fillId="0" borderId="28" xfId="1" applyFont="1" applyBorder="1"/>
    <xf numFmtId="0" fontId="16" fillId="0" borderId="7" xfId="1" applyFont="1" applyBorder="1"/>
    <xf numFmtId="9" fontId="16" fillId="0" borderId="8" xfId="1" applyNumberFormat="1" applyFont="1" applyBorder="1" applyAlignment="1">
      <alignment horizontal="right"/>
    </xf>
    <xf numFmtId="0" fontId="16" fillId="0" borderId="4" xfId="1" applyFont="1" applyBorder="1"/>
    <xf numFmtId="0" fontId="16" fillId="0" borderId="9" xfId="1" applyFont="1" applyBorder="1"/>
    <xf numFmtId="0" fontId="1" fillId="0" borderId="4" xfId="1" applyBorder="1"/>
    <xf numFmtId="0" fontId="1" fillId="0" borderId="27" xfId="1" applyBorder="1"/>
    <xf numFmtId="177" fontId="18" fillId="0" borderId="1" xfId="4" applyNumberFormat="1" applyFont="1" applyFill="1" applyBorder="1" applyAlignment="1"/>
    <xf numFmtId="1" fontId="10" fillId="0" borderId="0" xfId="4" applyNumberFormat="1" applyFont="1">
      <alignment vertical="center"/>
    </xf>
    <xf numFmtId="10" fontId="10" fillId="0" borderId="0" xfId="0" applyNumberFormat="1" applyFont="1" applyAlignment="1">
      <alignment horizontal="center"/>
    </xf>
    <xf numFmtId="176" fontId="10" fillId="0" borderId="0" xfId="6" applyNumberFormat="1" applyFont="1">
      <alignment vertical="center"/>
    </xf>
    <xf numFmtId="176" fontId="9" fillId="0" borderId="0" xfId="0" applyNumberFormat="1" applyFont="1">
      <alignment vertical="center"/>
    </xf>
    <xf numFmtId="10" fontId="0" fillId="0" borderId="0" xfId="4" applyNumberFormat="1" applyFont="1" applyBorder="1">
      <alignment vertical="center"/>
    </xf>
    <xf numFmtId="181" fontId="27" fillId="10" borderId="19" xfId="0" applyNumberFormat="1" applyFont="1" applyFill="1" applyBorder="1">
      <alignment vertical="center"/>
    </xf>
    <xf numFmtId="0" fontId="42" fillId="13" borderId="1" xfId="0" applyFont="1" applyFill="1" applyBorder="1" applyAlignment="1">
      <alignment horizontal="center" vertical="center" wrapText="1"/>
    </xf>
    <xf numFmtId="9" fontId="10" fillId="0" borderId="1" xfId="4" applyFont="1" applyBorder="1" applyAlignment="1">
      <alignment horizontal="center" vertical="center" wrapText="1"/>
    </xf>
    <xf numFmtId="0" fontId="42" fillId="9" borderId="1" xfId="0" applyFont="1" applyFill="1" applyBorder="1" applyAlignment="1">
      <alignment horizontal="center" vertical="center" wrapText="1"/>
    </xf>
    <xf numFmtId="0" fontId="21" fillId="0" borderId="1" xfId="0" applyFont="1" applyBorder="1">
      <alignment vertical="center"/>
    </xf>
    <xf numFmtId="9" fontId="21" fillId="0" borderId="1" xfId="4" applyFont="1" applyFill="1" applyBorder="1" applyAlignment="1">
      <alignment horizontal="center" vertical="center"/>
    </xf>
    <xf numFmtId="9" fontId="21" fillId="14" borderId="1" xfId="4" applyFont="1" applyFill="1" applyBorder="1" applyAlignment="1">
      <alignment horizontal="center" vertical="center"/>
    </xf>
    <xf numFmtId="177" fontId="21" fillId="0" borderId="1" xfId="4" applyNumberFormat="1" applyFont="1" applyFill="1" applyBorder="1" applyAlignment="1">
      <alignment horizontal="center" vertical="center"/>
    </xf>
    <xf numFmtId="9" fontId="21" fillId="14" borderId="1" xfId="4" applyFont="1" applyFill="1" applyBorder="1" applyAlignment="1">
      <alignment horizontal="center" vertical="center" wrapText="1"/>
    </xf>
    <xf numFmtId="177" fontId="21" fillId="14" borderId="1" xfId="4" applyNumberFormat="1" applyFont="1" applyFill="1" applyBorder="1" applyAlignment="1">
      <alignment horizontal="center" vertical="center"/>
    </xf>
    <xf numFmtId="0" fontId="21" fillId="0" borderId="1" xfId="0" applyFont="1" applyBorder="1" applyAlignment="1">
      <alignment vertical="center" wrapText="1"/>
    </xf>
    <xf numFmtId="10" fontId="21" fillId="0" borderId="1" xfId="4" applyNumberFormat="1" applyFont="1" applyFill="1" applyBorder="1" applyAlignment="1">
      <alignment horizontal="center" vertical="center"/>
    </xf>
    <xf numFmtId="0" fontId="21" fillId="0" borderId="1" xfId="0" applyFont="1" applyBorder="1" applyAlignment="1">
      <alignment horizontal="left" vertical="center" wrapText="1"/>
    </xf>
    <xf numFmtId="177" fontId="21" fillId="14" borderId="1" xfId="4" applyNumberFormat="1" applyFont="1" applyFill="1" applyBorder="1" applyAlignment="1">
      <alignment horizontal="center" vertical="center" wrapText="1"/>
    </xf>
    <xf numFmtId="10" fontId="21" fillId="14" borderId="1" xfId="4" applyNumberFormat="1" applyFont="1" applyFill="1" applyBorder="1" applyAlignment="1">
      <alignment horizontal="center" vertical="center" wrapText="1"/>
    </xf>
    <xf numFmtId="9" fontId="21" fillId="16" borderId="52" xfId="0" applyNumberFormat="1" applyFont="1" applyFill="1" applyBorder="1" applyAlignment="1">
      <alignment horizontal="center" vertical="center" wrapText="1" readingOrder="1"/>
    </xf>
    <xf numFmtId="9" fontId="43" fillId="15" borderId="52" xfId="0" applyNumberFormat="1" applyFont="1" applyFill="1" applyBorder="1" applyAlignment="1">
      <alignment horizontal="center" vertical="center" wrapText="1" readingOrder="1"/>
    </xf>
    <xf numFmtId="9" fontId="21" fillId="17" borderId="52" xfId="0" applyNumberFormat="1" applyFont="1" applyFill="1" applyBorder="1" applyAlignment="1">
      <alignment horizontal="center" vertical="center" wrapText="1" readingOrder="1"/>
    </xf>
    <xf numFmtId="9" fontId="21" fillId="18" borderId="52" xfId="0" applyNumberFormat="1" applyFont="1" applyFill="1" applyBorder="1" applyAlignment="1">
      <alignment horizontal="center" vertical="center" wrapText="1" readingOrder="1"/>
    </xf>
    <xf numFmtId="9" fontId="21" fillId="19" borderId="52" xfId="0" applyNumberFormat="1" applyFont="1" applyFill="1" applyBorder="1" applyAlignment="1">
      <alignment horizontal="center" vertical="center" wrapText="1" readingOrder="1"/>
    </xf>
    <xf numFmtId="9" fontId="21" fillId="20" borderId="52" xfId="0" applyNumberFormat="1" applyFont="1" applyFill="1" applyBorder="1" applyAlignment="1">
      <alignment horizontal="center" vertical="center" wrapText="1" readingOrder="1"/>
    </xf>
    <xf numFmtId="9" fontId="21" fillId="0" borderId="52" xfId="0" applyNumberFormat="1" applyFont="1" applyBorder="1" applyAlignment="1">
      <alignment horizontal="center" vertical="center" wrapText="1" readingOrder="1"/>
    </xf>
    <xf numFmtId="9" fontId="21" fillId="21" borderId="52" xfId="0" applyNumberFormat="1" applyFont="1" applyFill="1" applyBorder="1" applyAlignment="1">
      <alignment horizontal="center" vertical="center" wrapText="1" readingOrder="1"/>
    </xf>
    <xf numFmtId="9" fontId="21" fillId="22" borderId="52" xfId="0" applyNumberFormat="1" applyFont="1" applyFill="1" applyBorder="1" applyAlignment="1">
      <alignment horizontal="center" vertical="center" wrapText="1" readingOrder="1"/>
    </xf>
    <xf numFmtId="9" fontId="21" fillId="23" borderId="52" xfId="0" applyNumberFormat="1" applyFont="1" applyFill="1" applyBorder="1" applyAlignment="1">
      <alignment horizontal="center" vertical="center" wrapText="1" readingOrder="1"/>
    </xf>
    <xf numFmtId="10" fontId="21" fillId="0" borderId="52" xfId="0" applyNumberFormat="1" applyFont="1" applyBorder="1" applyAlignment="1">
      <alignment horizontal="center" vertical="center" wrapText="1" readingOrder="1"/>
    </xf>
    <xf numFmtId="9" fontId="21" fillId="24" borderId="52" xfId="0" applyNumberFormat="1" applyFont="1" applyFill="1" applyBorder="1" applyAlignment="1">
      <alignment horizontal="center" vertical="center" wrapText="1" readingOrder="1"/>
    </xf>
    <xf numFmtId="9" fontId="21" fillId="25" borderId="52" xfId="0" applyNumberFormat="1" applyFont="1" applyFill="1" applyBorder="1" applyAlignment="1">
      <alignment horizontal="center" vertical="center" wrapText="1" readingOrder="1"/>
    </xf>
    <xf numFmtId="9" fontId="21" fillId="26" borderId="52" xfId="0" applyNumberFormat="1" applyFont="1" applyFill="1" applyBorder="1" applyAlignment="1">
      <alignment horizontal="center" vertical="center" wrapText="1" readingOrder="1"/>
    </xf>
    <xf numFmtId="9" fontId="21" fillId="27" borderId="52" xfId="0" applyNumberFormat="1" applyFont="1" applyFill="1" applyBorder="1" applyAlignment="1">
      <alignment horizontal="center" vertical="center" wrapText="1" readingOrder="1"/>
    </xf>
    <xf numFmtId="9" fontId="21" fillId="28" borderId="52" xfId="0" applyNumberFormat="1" applyFont="1" applyFill="1" applyBorder="1" applyAlignment="1">
      <alignment horizontal="center" vertical="center" wrapText="1" readingOrder="1"/>
    </xf>
    <xf numFmtId="9" fontId="21" fillId="29" borderId="52" xfId="0" applyNumberFormat="1" applyFont="1" applyFill="1" applyBorder="1" applyAlignment="1">
      <alignment horizontal="center" vertical="center" wrapText="1" readingOrder="1"/>
    </xf>
    <xf numFmtId="9" fontId="21" fillId="30" borderId="52" xfId="0" applyNumberFormat="1" applyFont="1" applyFill="1" applyBorder="1" applyAlignment="1">
      <alignment horizontal="center" vertical="center" wrapText="1" readingOrder="1"/>
    </xf>
    <xf numFmtId="9" fontId="21" fillId="31" borderId="52" xfId="0" applyNumberFormat="1" applyFont="1" applyFill="1" applyBorder="1" applyAlignment="1">
      <alignment horizontal="center" vertical="center" wrapText="1" readingOrder="1"/>
    </xf>
    <xf numFmtId="9" fontId="21" fillId="32" borderId="52" xfId="0" applyNumberFormat="1" applyFont="1" applyFill="1" applyBorder="1" applyAlignment="1">
      <alignment horizontal="center" vertical="center" wrapText="1" readingOrder="1"/>
    </xf>
    <xf numFmtId="9" fontId="21" fillId="33" borderId="52" xfId="0" applyNumberFormat="1" applyFont="1" applyFill="1" applyBorder="1" applyAlignment="1">
      <alignment horizontal="center" vertical="center" wrapText="1" readingOrder="1"/>
    </xf>
    <xf numFmtId="9" fontId="21" fillId="34" borderId="52" xfId="0" applyNumberFormat="1" applyFont="1" applyFill="1" applyBorder="1" applyAlignment="1">
      <alignment horizontal="center" vertical="center" wrapText="1" readingOrder="1"/>
    </xf>
    <xf numFmtId="9" fontId="21" fillId="35" borderId="52" xfId="0" applyNumberFormat="1" applyFont="1" applyFill="1" applyBorder="1" applyAlignment="1">
      <alignment horizontal="center" vertical="center" wrapText="1" readingOrder="1"/>
    </xf>
    <xf numFmtId="10" fontId="43" fillId="15" borderId="52" xfId="0" applyNumberFormat="1" applyFont="1" applyFill="1" applyBorder="1" applyAlignment="1">
      <alignment horizontal="center" vertical="center" wrapText="1" readingOrder="1"/>
    </xf>
    <xf numFmtId="9" fontId="21" fillId="36" borderId="52" xfId="0" applyNumberFormat="1" applyFont="1" applyFill="1" applyBorder="1" applyAlignment="1">
      <alignment horizontal="center" vertical="center" wrapText="1" readingOrder="1"/>
    </xf>
    <xf numFmtId="9" fontId="21" fillId="37" borderId="52" xfId="0" applyNumberFormat="1" applyFont="1" applyFill="1" applyBorder="1" applyAlignment="1">
      <alignment horizontal="center" vertical="center" wrapText="1" readingOrder="1"/>
    </xf>
    <xf numFmtId="9" fontId="21" fillId="38" borderId="52" xfId="0" applyNumberFormat="1" applyFont="1" applyFill="1" applyBorder="1" applyAlignment="1">
      <alignment horizontal="center" vertical="center" wrapText="1" readingOrder="1"/>
    </xf>
    <xf numFmtId="9" fontId="21" fillId="39" borderId="52" xfId="0" applyNumberFormat="1" applyFont="1" applyFill="1" applyBorder="1" applyAlignment="1">
      <alignment horizontal="center" vertical="center" wrapText="1" readingOrder="1"/>
    </xf>
    <xf numFmtId="9" fontId="21" fillId="40" borderId="52" xfId="0" applyNumberFormat="1" applyFont="1" applyFill="1" applyBorder="1" applyAlignment="1">
      <alignment horizontal="center" vertical="center" wrapText="1" readingOrder="1"/>
    </xf>
    <xf numFmtId="9" fontId="21" fillId="41" borderId="52" xfId="0" applyNumberFormat="1" applyFont="1" applyFill="1" applyBorder="1" applyAlignment="1">
      <alignment horizontal="center" vertical="center" wrapText="1" readingOrder="1"/>
    </xf>
    <xf numFmtId="9" fontId="21" fillId="42" borderId="52" xfId="0" applyNumberFormat="1" applyFont="1" applyFill="1" applyBorder="1" applyAlignment="1">
      <alignment horizontal="center" vertical="center" wrapText="1" readingOrder="1"/>
    </xf>
    <xf numFmtId="9" fontId="21" fillId="43" borderId="52" xfId="0" applyNumberFormat="1" applyFont="1" applyFill="1" applyBorder="1" applyAlignment="1">
      <alignment horizontal="center" vertical="center" wrapText="1" readingOrder="1"/>
    </xf>
    <xf numFmtId="9" fontId="21" fillId="44" borderId="52" xfId="0" applyNumberFormat="1" applyFont="1" applyFill="1" applyBorder="1" applyAlignment="1">
      <alignment horizontal="center" vertical="center" wrapText="1" readingOrder="1"/>
    </xf>
    <xf numFmtId="9" fontId="21" fillId="45" borderId="52" xfId="0" applyNumberFormat="1" applyFont="1" applyFill="1" applyBorder="1" applyAlignment="1">
      <alignment horizontal="center" vertical="center" wrapText="1" readingOrder="1"/>
    </xf>
    <xf numFmtId="9" fontId="21" fillId="46" borderId="52" xfId="0" applyNumberFormat="1" applyFont="1" applyFill="1" applyBorder="1" applyAlignment="1">
      <alignment horizontal="center" vertical="center" wrapText="1" readingOrder="1"/>
    </xf>
    <xf numFmtId="9" fontId="21" fillId="47" borderId="52" xfId="0" applyNumberFormat="1" applyFont="1" applyFill="1" applyBorder="1" applyAlignment="1">
      <alignment horizontal="center" vertical="center" wrapText="1" readingOrder="1"/>
    </xf>
    <xf numFmtId="9" fontId="21" fillId="48" borderId="52" xfId="0" applyNumberFormat="1" applyFont="1" applyFill="1" applyBorder="1" applyAlignment="1">
      <alignment horizontal="center" vertical="center" wrapText="1" readingOrder="1"/>
    </xf>
    <xf numFmtId="9" fontId="21" fillId="49" borderId="52" xfId="0" applyNumberFormat="1" applyFont="1" applyFill="1" applyBorder="1" applyAlignment="1">
      <alignment horizontal="center" vertical="center" wrapText="1" readingOrder="1"/>
    </xf>
    <xf numFmtId="9" fontId="21" fillId="50" borderId="52" xfId="0" applyNumberFormat="1" applyFont="1" applyFill="1" applyBorder="1" applyAlignment="1">
      <alignment horizontal="center" vertical="center" wrapText="1" readingOrder="1"/>
    </xf>
    <xf numFmtId="9" fontId="21" fillId="51" borderId="52" xfId="0" applyNumberFormat="1" applyFont="1" applyFill="1" applyBorder="1" applyAlignment="1">
      <alignment horizontal="center" vertical="center" wrapText="1" readingOrder="1"/>
    </xf>
    <xf numFmtId="9" fontId="21" fillId="52" borderId="52" xfId="0" applyNumberFormat="1" applyFont="1" applyFill="1" applyBorder="1" applyAlignment="1">
      <alignment horizontal="center" vertical="center" wrapText="1" readingOrder="1"/>
    </xf>
    <xf numFmtId="9" fontId="21" fillId="53" borderId="52" xfId="0" applyNumberFormat="1" applyFont="1" applyFill="1" applyBorder="1" applyAlignment="1">
      <alignment horizontal="center" vertical="center" wrapText="1" readingOrder="1"/>
    </xf>
    <xf numFmtId="9" fontId="21" fillId="54" borderId="52" xfId="0" applyNumberFormat="1" applyFont="1" applyFill="1" applyBorder="1" applyAlignment="1">
      <alignment horizontal="center" vertical="center" wrapText="1" readingOrder="1"/>
    </xf>
    <xf numFmtId="9" fontId="21" fillId="55" borderId="52" xfId="0" applyNumberFormat="1" applyFont="1" applyFill="1" applyBorder="1" applyAlignment="1">
      <alignment horizontal="center" vertical="center" wrapText="1" readingOrder="1"/>
    </xf>
    <xf numFmtId="9" fontId="21" fillId="56" borderId="52" xfId="0" applyNumberFormat="1" applyFont="1" applyFill="1" applyBorder="1" applyAlignment="1">
      <alignment horizontal="center" vertical="center" wrapText="1" readingOrder="1"/>
    </xf>
    <xf numFmtId="9" fontId="21" fillId="57" borderId="52" xfId="0" applyNumberFormat="1" applyFont="1" applyFill="1" applyBorder="1" applyAlignment="1">
      <alignment horizontal="center" vertical="center" wrapText="1" readingOrder="1"/>
    </xf>
    <xf numFmtId="9" fontId="21" fillId="58" borderId="52" xfId="0" applyNumberFormat="1" applyFont="1" applyFill="1" applyBorder="1" applyAlignment="1">
      <alignment horizontal="center" vertical="center" wrapText="1" readingOrder="1"/>
    </xf>
    <xf numFmtId="9" fontId="21" fillId="59" borderId="52" xfId="0" applyNumberFormat="1" applyFont="1" applyFill="1" applyBorder="1" applyAlignment="1">
      <alignment horizontal="center" vertical="center" wrapText="1" readingOrder="1"/>
    </xf>
    <xf numFmtId="177" fontId="21" fillId="0" borderId="52" xfId="0" applyNumberFormat="1" applyFont="1" applyBorder="1" applyAlignment="1">
      <alignment horizontal="center" vertical="center" wrapText="1" readingOrder="1"/>
    </xf>
    <xf numFmtId="177" fontId="21" fillId="49" borderId="52" xfId="0" applyNumberFormat="1" applyFont="1" applyFill="1" applyBorder="1" applyAlignment="1">
      <alignment horizontal="center" vertical="center" wrapText="1" readingOrder="1"/>
    </xf>
    <xf numFmtId="177" fontId="21" fillId="41" borderId="52" xfId="0" applyNumberFormat="1" applyFont="1" applyFill="1" applyBorder="1" applyAlignment="1">
      <alignment horizontal="center" vertical="center" wrapText="1" readingOrder="1"/>
    </xf>
    <xf numFmtId="177" fontId="21" fillId="59" borderId="52" xfId="0" applyNumberFormat="1" applyFont="1" applyFill="1" applyBorder="1" applyAlignment="1">
      <alignment horizontal="center" vertical="center" wrapText="1" readingOrder="1"/>
    </xf>
    <xf numFmtId="49" fontId="10" fillId="0" borderId="1" xfId="4" applyNumberFormat="1" applyFont="1" applyBorder="1" applyAlignment="1">
      <alignment horizontal="center" vertical="center" wrapText="1"/>
    </xf>
    <xf numFmtId="1" fontId="10" fillId="0" borderId="1" xfId="0" applyNumberFormat="1" applyFont="1" applyBorder="1" applyAlignment="1">
      <alignment horizontal="center" vertical="center"/>
    </xf>
    <xf numFmtId="0" fontId="21" fillId="0" borderId="1" xfId="0" applyFont="1" applyBorder="1" applyAlignment="1">
      <alignment horizontal="center" vertical="center"/>
    </xf>
    <xf numFmtId="1" fontId="21" fillId="0" borderId="1" xfId="0" applyNumberFormat="1" applyFont="1" applyBorder="1" applyAlignment="1">
      <alignment horizontal="center" vertical="center"/>
    </xf>
    <xf numFmtId="178" fontId="21" fillId="0" borderId="1" xfId="0" applyNumberFormat="1" applyFont="1" applyBorder="1" applyAlignment="1">
      <alignment horizontal="center" vertical="center"/>
    </xf>
    <xf numFmtId="1" fontId="21" fillId="0" borderId="1" xfId="4" applyNumberFormat="1" applyFont="1" applyFill="1" applyBorder="1" applyAlignment="1">
      <alignment horizontal="center" vertical="center"/>
    </xf>
    <xf numFmtId="0" fontId="41" fillId="0" borderId="0" xfId="0" applyFont="1" applyAlignment="1">
      <alignment horizontal="center" vertical="center"/>
    </xf>
    <xf numFmtId="1" fontId="41" fillId="0" borderId="0" xfId="0" applyNumberFormat="1" applyFont="1" applyAlignment="1">
      <alignment horizontal="center" vertical="center"/>
    </xf>
    <xf numFmtId="183" fontId="21" fillId="0" borderId="1" xfId="4" applyNumberFormat="1" applyFont="1" applyFill="1" applyBorder="1" applyAlignment="1">
      <alignment horizontal="center" vertical="center"/>
    </xf>
    <xf numFmtId="1" fontId="21" fillId="0" borderId="1" xfId="0" applyNumberFormat="1" applyFont="1" applyBorder="1" applyAlignment="1">
      <alignment horizontal="center" vertical="center" wrapText="1"/>
    </xf>
    <xf numFmtId="0" fontId="44" fillId="0" borderId="0" xfId="0" applyFont="1">
      <alignment vertical="center"/>
    </xf>
    <xf numFmtId="182" fontId="10" fillId="0" borderId="0" xfId="6" applyNumberFormat="1" applyFont="1">
      <alignment vertical="center"/>
    </xf>
    <xf numFmtId="9" fontId="18" fillId="0" borderId="0" xfId="4" applyFont="1" applyFill="1" applyAlignment="1"/>
    <xf numFmtId="9" fontId="38" fillId="0" borderId="0" xfId="4" applyFont="1" applyFill="1" applyAlignment="1"/>
    <xf numFmtId="177" fontId="21" fillId="0" borderId="1" xfId="4" applyNumberFormat="1" applyFont="1" applyFill="1" applyBorder="1" applyAlignment="1">
      <alignment horizontal="center" vertical="center" wrapText="1"/>
    </xf>
    <xf numFmtId="177" fontId="0" fillId="0" borderId="0" xfId="0" applyNumberFormat="1">
      <alignment vertical="center"/>
    </xf>
    <xf numFmtId="177" fontId="21" fillId="12" borderId="1" xfId="4" applyNumberFormat="1" applyFont="1" applyFill="1" applyBorder="1" applyAlignment="1">
      <alignment horizontal="center" vertical="center"/>
    </xf>
    <xf numFmtId="177" fontId="21" fillId="60" borderId="1" xfId="4" applyNumberFormat="1" applyFont="1" applyFill="1" applyBorder="1" applyAlignment="1">
      <alignment horizontal="center" vertical="center" wrapText="1"/>
    </xf>
    <xf numFmtId="0" fontId="10" fillId="0" borderId="0" xfId="0" applyFont="1" applyAlignment="1">
      <alignment horizontal="left"/>
    </xf>
    <xf numFmtId="0" fontId="25" fillId="0" borderId="0" xfId="0" applyFont="1">
      <alignment vertical="center"/>
    </xf>
    <xf numFmtId="0" fontId="46" fillId="13" borderId="1" xfId="0" applyFont="1" applyFill="1" applyBorder="1" applyAlignment="1">
      <alignment horizontal="center" vertical="center" wrapText="1"/>
    </xf>
    <xf numFmtId="0" fontId="49" fillId="0" borderId="1" xfId="0" applyFont="1" applyBorder="1">
      <alignment vertical="center"/>
    </xf>
    <xf numFmtId="9" fontId="49" fillId="0" borderId="1" xfId="0" applyNumberFormat="1" applyFont="1" applyBorder="1" applyAlignment="1">
      <alignment horizontal="left" vertical="center"/>
    </xf>
    <xf numFmtId="0" fontId="49" fillId="0" borderId="1" xfId="0" applyFont="1" applyBorder="1" applyAlignment="1">
      <alignment horizontal="left" vertical="center"/>
    </xf>
    <xf numFmtId="0" fontId="19" fillId="0" borderId="0" xfId="7" applyFont="1" applyAlignment="1">
      <alignment vertical="top" wrapText="1"/>
    </xf>
    <xf numFmtId="0" fontId="32" fillId="0" borderId="0" xfId="0" applyFont="1" applyAlignment="1">
      <alignment horizontal="center" vertical="center"/>
    </xf>
    <xf numFmtId="0" fontId="24" fillId="0" borderId="0" xfId="0" applyFont="1" applyAlignment="1">
      <alignment horizontal="center" vertical="center"/>
    </xf>
    <xf numFmtId="0" fontId="0" fillId="0" borderId="0" xfId="0" applyAlignment="1"/>
    <xf numFmtId="176" fontId="39" fillId="0" borderId="0" xfId="0" applyNumberFormat="1" applyFont="1" applyAlignment="1">
      <alignment horizontal="right"/>
    </xf>
    <xf numFmtId="179" fontId="39" fillId="0" borderId="0" xfId="0" applyNumberFormat="1" applyFont="1" applyAlignment="1"/>
    <xf numFmtId="1" fontId="10" fillId="0" borderId="1" xfId="0" applyNumberFormat="1" applyFont="1" applyBorder="1">
      <alignment vertical="center"/>
    </xf>
    <xf numFmtId="2" fontId="10" fillId="0" borderId="1" xfId="0" applyNumberFormat="1" applyFont="1" applyBorder="1">
      <alignment vertical="center"/>
    </xf>
    <xf numFmtId="9" fontId="10" fillId="0" borderId="1" xfId="4" applyFont="1" applyFill="1" applyBorder="1" applyAlignment="1">
      <alignment horizontal="right" vertical="center"/>
    </xf>
    <xf numFmtId="43" fontId="0" fillId="0" borderId="1" xfId="6" applyFont="1" applyFill="1" applyBorder="1">
      <alignment vertical="center"/>
    </xf>
    <xf numFmtId="1" fontId="10" fillId="0" borderId="1" xfId="6" applyNumberFormat="1" applyFont="1" applyFill="1" applyBorder="1">
      <alignment vertical="center"/>
    </xf>
    <xf numFmtId="176" fontId="10" fillId="0" borderId="1" xfId="0" applyNumberFormat="1" applyFont="1" applyBorder="1">
      <alignment vertical="center"/>
    </xf>
    <xf numFmtId="176" fontId="10" fillId="0" borderId="1" xfId="4" applyNumberFormat="1" applyFont="1" applyFill="1" applyBorder="1">
      <alignment vertical="center"/>
    </xf>
    <xf numFmtId="9" fontId="18" fillId="0" borderId="1" xfId="4" applyFont="1" applyFill="1" applyBorder="1" applyAlignment="1">
      <alignment horizontal="center" vertical="center"/>
    </xf>
    <xf numFmtId="176" fontId="18" fillId="0" borderId="1" xfId="6" applyNumberFormat="1" applyFont="1" applyFill="1" applyBorder="1" applyAlignment="1">
      <alignment horizontal="center" vertical="center"/>
    </xf>
    <xf numFmtId="176" fontId="18" fillId="0" borderId="1" xfId="6" applyNumberFormat="1" applyFont="1" applyFill="1" applyBorder="1" applyAlignment="1">
      <alignment horizontal="center"/>
    </xf>
    <xf numFmtId="176" fontId="18" fillId="0" borderId="1" xfId="6" applyNumberFormat="1" applyFont="1" applyBorder="1" applyAlignment="1">
      <alignment horizontal="center" vertical="center"/>
    </xf>
    <xf numFmtId="0" fontId="9" fillId="0" borderId="0" xfId="1" applyFont="1"/>
    <xf numFmtId="0" fontId="40" fillId="0" borderId="1" xfId="0" applyFont="1" applyBorder="1">
      <alignment vertical="center"/>
    </xf>
    <xf numFmtId="176" fontId="40" fillId="0" borderId="1" xfId="6" applyNumberFormat="1" applyFont="1" applyBorder="1">
      <alignment vertical="center"/>
    </xf>
    <xf numFmtId="0" fontId="10" fillId="0" borderId="0" xfId="0" applyFont="1" applyAlignment="1">
      <alignment horizontal="left" vertical="top" wrapText="1"/>
    </xf>
    <xf numFmtId="0" fontId="0" fillId="0" borderId="0" xfId="0" applyAlignment="1">
      <alignment vertical="top" wrapText="1"/>
    </xf>
    <xf numFmtId="1" fontId="12" fillId="0" borderId="1" xfId="0" applyNumberFormat="1" applyFont="1" applyBorder="1" applyAlignment="1">
      <alignment horizontal="center" vertical="center"/>
    </xf>
    <xf numFmtId="1" fontId="10" fillId="0" borderId="0" xfId="0" applyNumberFormat="1" applyFont="1" applyAlignment="1">
      <alignment horizontal="center" vertical="center"/>
    </xf>
    <xf numFmtId="9" fontId="10" fillId="0" borderId="0" xfId="4" applyFont="1" applyAlignment="1">
      <alignment horizontal="center" vertical="center"/>
    </xf>
    <xf numFmtId="9" fontId="0" fillId="0" borderId="0" xfId="4" applyFont="1" applyAlignment="1">
      <alignment horizontal="center" vertical="center"/>
    </xf>
    <xf numFmtId="9" fontId="23" fillId="4" borderId="1" xfId="4" applyFont="1" applyFill="1" applyBorder="1" applyAlignment="1">
      <alignment horizontal="center" vertical="center" wrapText="1"/>
    </xf>
    <xf numFmtId="0" fontId="10" fillId="0" borderId="1" xfId="0" applyFont="1" applyBorder="1" applyAlignment="1">
      <alignment horizontal="left" vertical="top" wrapText="1"/>
    </xf>
    <xf numFmtId="9" fontId="50" fillId="0" borderId="1" xfId="4" applyFont="1" applyBorder="1" applyAlignment="1">
      <alignment horizontal="center" vertical="center"/>
    </xf>
    <xf numFmtId="0" fontId="52" fillId="13" borderId="1" xfId="0" applyFont="1" applyFill="1" applyBorder="1" applyAlignment="1">
      <alignment horizontal="center" vertical="center" wrapText="1"/>
    </xf>
    <xf numFmtId="0" fontId="53" fillId="0" borderId="1" xfId="0" applyFont="1" applyBorder="1" applyAlignment="1">
      <alignment horizontal="center" vertical="center"/>
    </xf>
    <xf numFmtId="0" fontId="53" fillId="0" borderId="1" xfId="0" applyFont="1" applyBorder="1" applyAlignment="1">
      <alignment horizontal="center" vertical="center" wrapText="1"/>
    </xf>
    <xf numFmtId="0" fontId="10" fillId="0" borderId="0" xfId="0" applyFont="1" applyAlignment="1">
      <alignment vertical="top" wrapText="1"/>
    </xf>
    <xf numFmtId="0" fontId="10" fillId="0" borderId="0" xfId="0" applyFont="1" applyAlignment="1">
      <alignment vertical="top"/>
    </xf>
    <xf numFmtId="9" fontId="53" fillId="0" borderId="1" xfId="0" applyNumberFormat="1" applyFont="1" applyBorder="1" applyAlignment="1">
      <alignment horizontal="center" vertical="center" wrapText="1"/>
    </xf>
    <xf numFmtId="9" fontId="53" fillId="0" borderId="1" xfId="0" applyNumberFormat="1" applyFont="1" applyBorder="1" applyAlignment="1">
      <alignment horizontal="center" vertical="center"/>
    </xf>
    <xf numFmtId="0" fontId="55" fillId="0" borderId="0" xfId="0" applyFont="1">
      <alignment vertical="center"/>
    </xf>
    <xf numFmtId="0" fontId="56" fillId="0" borderId="0" xfId="0" applyFont="1" applyAlignment="1">
      <alignment horizontal="left" vertical="center"/>
    </xf>
    <xf numFmtId="0" fontId="23" fillId="2" borderId="28" xfId="0" applyFont="1" applyFill="1" applyBorder="1" applyAlignment="1">
      <alignment vertical="center" wrapText="1"/>
    </xf>
    <xf numFmtId="43" fontId="10" fillId="0" borderId="0" xfId="4" applyNumberFormat="1" applyFont="1" applyAlignment="1">
      <alignment horizontal="right" vertical="center"/>
    </xf>
    <xf numFmtId="0" fontId="57" fillId="0" borderId="0" xfId="0" applyFont="1">
      <alignment vertical="center"/>
    </xf>
    <xf numFmtId="176" fontId="10" fillId="0" borderId="0" xfId="4" applyNumberFormat="1" applyFont="1" applyFill="1" applyBorder="1">
      <alignment vertical="center"/>
    </xf>
    <xf numFmtId="0" fontId="11" fillId="0" borderId="0" xfId="0" applyFont="1" applyAlignment="1">
      <alignment horizontal="left" vertical="center"/>
    </xf>
    <xf numFmtId="0" fontId="11" fillId="3" borderId="28" xfId="0" applyFont="1" applyFill="1" applyBorder="1" applyAlignment="1">
      <alignment horizontal="center" vertical="center" wrapText="1"/>
    </xf>
    <xf numFmtId="0" fontId="11" fillId="5" borderId="28" xfId="0" applyFont="1" applyFill="1" applyBorder="1" applyAlignment="1">
      <alignment horizontal="center" vertical="center" wrapText="1"/>
    </xf>
    <xf numFmtId="0" fontId="11" fillId="6" borderId="28" xfId="0" applyFont="1" applyFill="1" applyBorder="1" applyAlignment="1">
      <alignment horizontal="center" vertical="center" wrapText="1"/>
    </xf>
    <xf numFmtId="0" fontId="11" fillId="6" borderId="1" xfId="0" applyFont="1" applyFill="1" applyBorder="1" applyAlignment="1">
      <alignment horizontal="center" vertical="center" wrapText="1"/>
    </xf>
    <xf numFmtId="180" fontId="18" fillId="0" borderId="1" xfId="1" applyNumberFormat="1" applyFont="1" applyBorder="1"/>
    <xf numFmtId="178" fontId="18" fillId="0" borderId="1" xfId="1" applyNumberFormat="1" applyFont="1" applyBorder="1"/>
    <xf numFmtId="0" fontId="16" fillId="0" borderId="1" xfId="1" applyFont="1" applyBorder="1"/>
    <xf numFmtId="0" fontId="8" fillId="0" borderId="0" xfId="5" applyFill="1" applyAlignment="1"/>
    <xf numFmtId="0" fontId="7" fillId="0" borderId="1" xfId="1" applyFont="1" applyBorder="1"/>
    <xf numFmtId="180" fontId="18" fillId="0" borderId="0" xfId="1" applyNumberFormat="1" applyFont="1"/>
    <xf numFmtId="177" fontId="18" fillId="0" borderId="0" xfId="4" applyNumberFormat="1" applyFont="1" applyFill="1" applyBorder="1" applyAlignment="1"/>
    <xf numFmtId="9" fontId="18" fillId="0" borderId="0" xfId="4" applyFont="1" applyFill="1" applyBorder="1" applyAlignment="1"/>
    <xf numFmtId="178" fontId="18" fillId="0" borderId="0" xfId="1" applyNumberFormat="1" applyFont="1"/>
    <xf numFmtId="0" fontId="8" fillId="0" borderId="1" xfId="5" applyFill="1" applyBorder="1" applyAlignment="1"/>
    <xf numFmtId="0" fontId="21" fillId="0" borderId="1" xfId="0" applyFont="1" applyBorder="1" applyAlignment="1">
      <alignment vertical="top" wrapText="1"/>
    </xf>
    <xf numFmtId="1" fontId="22" fillId="0" borderId="1" xfId="0" applyNumberFormat="1" applyFont="1" applyBorder="1" applyAlignment="1">
      <alignment horizontal="center" vertical="center"/>
    </xf>
    <xf numFmtId="2" fontId="49" fillId="0" borderId="1" xfId="0" applyNumberFormat="1" applyFont="1" applyBorder="1" applyAlignment="1">
      <alignment horizontal="left" vertical="center"/>
    </xf>
    <xf numFmtId="9" fontId="49" fillId="0" borderId="1" xfId="4" applyFont="1" applyBorder="1" applyAlignment="1">
      <alignment horizontal="left" vertical="center"/>
    </xf>
    <xf numFmtId="0" fontId="49" fillId="0" borderId="27" xfId="0" applyFont="1" applyBorder="1" applyAlignment="1">
      <alignment horizontal="left" vertical="center"/>
    </xf>
    <xf numFmtId="181" fontId="49" fillId="0" borderId="1" xfId="6" applyNumberFormat="1" applyFont="1" applyBorder="1" applyAlignment="1">
      <alignment horizontal="left" vertical="center"/>
    </xf>
    <xf numFmtId="0" fontId="49" fillId="0" borderId="28" xfId="0" applyFont="1" applyBorder="1">
      <alignment vertical="center"/>
    </xf>
    <xf numFmtId="0" fontId="49" fillId="0" borderId="27" xfId="0" applyFont="1" applyBorder="1">
      <alignment vertical="center"/>
    </xf>
    <xf numFmtId="9" fontId="49" fillId="0" borderId="27" xfId="0" applyNumberFormat="1" applyFont="1" applyBorder="1" applyAlignment="1">
      <alignment horizontal="left" vertical="center"/>
    </xf>
    <xf numFmtId="2" fontId="49" fillId="0" borderId="27" xfId="0" applyNumberFormat="1" applyFont="1" applyBorder="1" applyAlignment="1">
      <alignment horizontal="left" vertical="center"/>
    </xf>
    <xf numFmtId="9" fontId="49" fillId="0" borderId="27" xfId="4" applyFont="1" applyBorder="1" applyAlignment="1">
      <alignment horizontal="left" vertical="center"/>
    </xf>
    <xf numFmtId="181" fontId="49" fillId="0" borderId="27" xfId="6" applyNumberFormat="1" applyFont="1" applyBorder="1" applyAlignment="1">
      <alignment horizontal="left" vertical="center"/>
    </xf>
    <xf numFmtId="9" fontId="50" fillId="0" borderId="27" xfId="4" applyFont="1" applyBorder="1" applyAlignment="1">
      <alignment horizontal="center" vertical="center"/>
    </xf>
    <xf numFmtId="0" fontId="51" fillId="0" borderId="0" xfId="0" applyFont="1">
      <alignment vertical="center"/>
    </xf>
    <xf numFmtId="0" fontId="51" fillId="0" borderId="1" xfId="0" applyFont="1" applyBorder="1" applyAlignment="1">
      <alignment horizontal="left"/>
    </xf>
    <xf numFmtId="181" fontId="61" fillId="0" borderId="27" xfId="6" applyNumberFormat="1" applyFont="1" applyFill="1" applyBorder="1" applyAlignment="1">
      <alignment horizontal="center" vertical="center"/>
    </xf>
    <xf numFmtId="0" fontId="51" fillId="0" borderId="1" xfId="0" applyFont="1" applyBorder="1">
      <alignment vertical="center"/>
    </xf>
    <xf numFmtId="0" fontId="51" fillId="0" borderId="1" xfId="0" applyFont="1" applyBorder="1" applyAlignment="1">
      <alignment horizontal="left" vertical="center"/>
    </xf>
    <xf numFmtId="179" fontId="51" fillId="0" borderId="1" xfId="4" applyNumberFormat="1" applyFont="1" applyBorder="1" applyAlignment="1">
      <alignment horizontal="left" vertical="center"/>
    </xf>
    <xf numFmtId="0" fontId="51" fillId="0" borderId="0" xfId="0" applyFont="1" applyAlignment="1">
      <alignment horizontal="left" vertical="center"/>
    </xf>
    <xf numFmtId="9" fontId="51" fillId="0" borderId="1" xfId="0" applyNumberFormat="1" applyFont="1" applyBorder="1" applyAlignment="1">
      <alignment horizontal="left"/>
    </xf>
    <xf numFmtId="177" fontId="18" fillId="0" borderId="1" xfId="4" applyNumberFormat="1" applyFont="1" applyFill="1" applyBorder="1" applyAlignment="1">
      <alignment horizontal="right"/>
    </xf>
    <xf numFmtId="176" fontId="1" fillId="0" borderId="8" xfId="6" applyNumberFormat="1" applyFont="1" applyBorder="1" applyAlignment="1"/>
    <xf numFmtId="176" fontId="1" fillId="0" borderId="10" xfId="6" applyNumberFormat="1" applyFont="1" applyBorder="1" applyAlignment="1"/>
    <xf numFmtId="0" fontId="16" fillId="0" borderId="11" xfId="1" applyFont="1" applyBorder="1"/>
    <xf numFmtId="176" fontId="1" fillId="0" borderId="12" xfId="6" applyNumberFormat="1" applyFont="1" applyBorder="1" applyAlignment="1"/>
    <xf numFmtId="9" fontId="16" fillId="0" borderId="12" xfId="1" applyNumberFormat="1" applyFont="1" applyBorder="1" applyAlignment="1">
      <alignment horizontal="right"/>
    </xf>
    <xf numFmtId="10" fontId="1" fillId="0" borderId="8" xfId="1" applyNumberFormat="1" applyBorder="1"/>
    <xf numFmtId="10" fontId="1" fillId="0" borderId="10" xfId="1" applyNumberFormat="1" applyBorder="1"/>
    <xf numFmtId="9" fontId="1" fillId="0" borderId="10" xfId="1" applyNumberFormat="1" applyBorder="1"/>
    <xf numFmtId="10" fontId="1" fillId="0" borderId="12" xfId="1" applyNumberFormat="1" applyBorder="1"/>
    <xf numFmtId="9" fontId="1" fillId="0" borderId="8" xfId="1" applyNumberFormat="1" applyBorder="1"/>
    <xf numFmtId="9" fontId="1" fillId="0" borderId="12" xfId="1" applyNumberFormat="1" applyBorder="1"/>
    <xf numFmtId="0" fontId="1" fillId="0" borderId="7" xfId="1" applyBorder="1" applyAlignment="1">
      <alignment wrapText="1"/>
    </xf>
    <xf numFmtId="0" fontId="1" fillId="0" borderId="9" xfId="1" applyBorder="1" applyAlignment="1">
      <alignment wrapText="1"/>
    </xf>
    <xf numFmtId="0" fontId="1" fillId="0" borderId="11" xfId="1" applyBorder="1" applyAlignment="1">
      <alignment wrapText="1"/>
    </xf>
    <xf numFmtId="0" fontId="16" fillId="0" borderId="57" xfId="1" applyFont="1" applyBorder="1" applyAlignment="1">
      <alignment wrapText="1"/>
    </xf>
    <xf numFmtId="0" fontId="16" fillId="0" borderId="6" xfId="1" applyFont="1" applyBorder="1" applyAlignment="1">
      <alignment wrapText="1"/>
    </xf>
    <xf numFmtId="0" fontId="16" fillId="0" borderId="45" xfId="1" applyFont="1" applyBorder="1" applyAlignment="1">
      <alignment wrapText="1"/>
    </xf>
    <xf numFmtId="0" fontId="62" fillId="4" borderId="5" xfId="1" applyFont="1" applyFill="1" applyBorder="1"/>
    <xf numFmtId="0" fontId="63" fillId="4" borderId="7" xfId="1" applyFont="1" applyFill="1" applyBorder="1"/>
    <xf numFmtId="0" fontId="63" fillId="4" borderId="8" xfId="1" applyFont="1" applyFill="1" applyBorder="1"/>
    <xf numFmtId="178" fontId="64" fillId="0" borderId="1" xfId="1" applyNumberFormat="1" applyFont="1" applyBorder="1"/>
    <xf numFmtId="0" fontId="29" fillId="4" borderId="1" xfId="7" applyFont="1" applyFill="1" applyBorder="1" applyAlignment="1">
      <alignment horizontal="center" vertical="center"/>
    </xf>
    <xf numFmtId="176" fontId="18" fillId="0" borderId="1" xfId="6" applyNumberFormat="1" applyFont="1" applyFill="1" applyBorder="1" applyAlignment="1">
      <alignment horizontal="right"/>
    </xf>
    <xf numFmtId="9" fontId="18" fillId="0" borderId="1" xfId="4" applyFont="1" applyBorder="1" applyAlignment="1">
      <alignment horizontal="right"/>
    </xf>
    <xf numFmtId="1" fontId="18" fillId="0" borderId="1" xfId="7" applyNumberFormat="1" applyFont="1" applyBorder="1" applyAlignment="1">
      <alignment horizontal="right"/>
    </xf>
    <xf numFmtId="0" fontId="51" fillId="0" borderId="1" xfId="0" applyFont="1" applyBorder="1" applyAlignment="1">
      <alignment horizontal="center" vertical="center"/>
    </xf>
    <xf numFmtId="0" fontId="0" fillId="0" borderId="0" xfId="0" applyAlignment="1">
      <alignment vertical="center" wrapText="1"/>
    </xf>
    <xf numFmtId="0" fontId="30" fillId="0" borderId="0" xfId="1" applyFont="1"/>
    <xf numFmtId="0" fontId="24" fillId="0" borderId="0" xfId="0" applyFont="1">
      <alignment vertical="center"/>
    </xf>
    <xf numFmtId="176" fontId="24" fillId="0" borderId="0" xfId="0" applyNumberFormat="1" applyFont="1">
      <alignment vertical="center"/>
    </xf>
    <xf numFmtId="181" fontId="61" fillId="0" borderId="27" xfId="6" applyNumberFormat="1" applyFont="1" applyBorder="1" applyAlignment="1">
      <alignment horizontal="center" vertical="center"/>
    </xf>
    <xf numFmtId="181" fontId="51" fillId="0" borderId="27" xfId="6" applyNumberFormat="1" applyFont="1" applyBorder="1" applyAlignment="1">
      <alignment horizontal="center" vertical="center"/>
    </xf>
    <xf numFmtId="10" fontId="9" fillId="0" borderId="0" xfId="4" applyNumberFormat="1" applyFont="1">
      <alignment vertical="center"/>
    </xf>
    <xf numFmtId="9" fontId="9" fillId="0" borderId="0" xfId="4" applyFont="1">
      <alignment vertical="center"/>
    </xf>
    <xf numFmtId="176" fontId="9" fillId="0" borderId="0" xfId="6" applyNumberFormat="1" applyFont="1" applyBorder="1">
      <alignment vertical="center"/>
    </xf>
    <xf numFmtId="0" fontId="40" fillId="0" borderId="0" xfId="0" applyFont="1">
      <alignment vertical="center"/>
    </xf>
    <xf numFmtId="176" fontId="0" fillId="0" borderId="0" xfId="0" applyNumberFormat="1">
      <alignment vertical="center"/>
    </xf>
    <xf numFmtId="0" fontId="65" fillId="0" borderId="0" xfId="0" applyFont="1">
      <alignment vertical="center"/>
    </xf>
    <xf numFmtId="9" fontId="10" fillId="0" borderId="1" xfId="4" applyFont="1" applyBorder="1" applyAlignment="1">
      <alignment horizontal="center" vertical="center"/>
    </xf>
    <xf numFmtId="181" fontId="10" fillId="0" borderId="1" xfId="0" applyNumberFormat="1" applyFont="1" applyBorder="1" applyAlignment="1">
      <alignment horizontal="center" vertical="center"/>
    </xf>
    <xf numFmtId="176" fontId="10" fillId="0" borderId="1" xfId="4" applyNumberFormat="1" applyFont="1" applyFill="1" applyBorder="1" applyAlignment="1">
      <alignment horizontal="right" vertical="center"/>
    </xf>
    <xf numFmtId="0" fontId="30" fillId="0" borderId="0" xfId="0" applyFont="1" applyAlignment="1">
      <alignment horizontal="center"/>
    </xf>
    <xf numFmtId="0" fontId="30" fillId="0" borderId="0" xfId="0" applyFont="1">
      <alignment vertical="center"/>
    </xf>
    <xf numFmtId="0" fontId="24" fillId="0" borderId="0" xfId="0" applyFont="1" applyAlignment="1">
      <alignment horizontal="center" vertical="center" wrapText="1"/>
    </xf>
    <xf numFmtId="0" fontId="24" fillId="0" borderId="0" xfId="0" applyFont="1" applyAlignment="1">
      <alignment horizontal="center"/>
    </xf>
    <xf numFmtId="0" fontId="24" fillId="0" borderId="0" xfId="1" applyFont="1" applyAlignment="1">
      <alignment horizontal="center"/>
    </xf>
    <xf numFmtId="0" fontId="24" fillId="0" borderId="0" xfId="0" applyFont="1" applyAlignment="1">
      <alignment horizontal="left" vertical="center"/>
    </xf>
    <xf numFmtId="176" fontId="24" fillId="0" borderId="0" xfId="0" applyNumberFormat="1" applyFont="1" applyAlignment="1">
      <alignment horizontal="left" vertical="center"/>
    </xf>
    <xf numFmtId="9" fontId="24" fillId="0" borderId="0" xfId="4" applyFont="1">
      <alignment vertical="center"/>
    </xf>
    <xf numFmtId="10" fontId="24" fillId="0" borderId="0" xfId="4" applyNumberFormat="1" applyFont="1">
      <alignment vertical="center"/>
    </xf>
    <xf numFmtId="9" fontId="24" fillId="0" borderId="0" xfId="4" applyFont="1" applyFill="1" applyBorder="1" applyAlignment="1"/>
    <xf numFmtId="176" fontId="24" fillId="0" borderId="0" xfId="6" applyNumberFormat="1" applyFont="1" applyFill="1" applyBorder="1" applyAlignment="1">
      <alignment horizontal="left" vertical="center"/>
    </xf>
    <xf numFmtId="9" fontId="24" fillId="0" borderId="0" xfId="4" applyFont="1" applyFill="1" applyBorder="1" applyAlignment="1">
      <alignment horizontal="left" vertical="center"/>
    </xf>
    <xf numFmtId="0" fontId="30" fillId="0" borderId="0" xfId="0" applyFont="1" applyAlignment="1">
      <alignment horizontal="left" vertical="center"/>
    </xf>
    <xf numFmtId="0" fontId="66" fillId="0" borderId="0" xfId="0" applyFont="1" applyAlignment="1"/>
    <xf numFmtId="176" fontId="24" fillId="0" borderId="0" xfId="6" applyNumberFormat="1" applyFont="1" applyFill="1" applyBorder="1" applyAlignment="1">
      <alignment horizontal="center" vertical="center"/>
    </xf>
    <xf numFmtId="0" fontId="66" fillId="0" borderId="0" xfId="0" applyFont="1" applyAlignment="1">
      <alignment horizontal="center"/>
    </xf>
    <xf numFmtId="176" fontId="30" fillId="0" borderId="0" xfId="6" applyNumberFormat="1" applyFont="1" applyFill="1" applyBorder="1">
      <alignment vertical="center"/>
    </xf>
    <xf numFmtId="176" fontId="30" fillId="0" borderId="0" xfId="0" applyNumberFormat="1" applyFont="1">
      <alignment vertical="center"/>
    </xf>
    <xf numFmtId="0" fontId="40" fillId="0" borderId="27" xfId="0" applyFont="1" applyBorder="1">
      <alignment vertical="center"/>
    </xf>
    <xf numFmtId="176" fontId="40" fillId="0" borderId="27" xfId="6" applyNumberFormat="1" applyFont="1" applyBorder="1">
      <alignment vertical="center"/>
    </xf>
    <xf numFmtId="181" fontId="10" fillId="0" borderId="0" xfId="6" applyNumberFormat="1" applyFont="1" applyAlignment="1">
      <alignment horizontal="center" vertical="center"/>
    </xf>
    <xf numFmtId="181" fontId="23" fillId="4" borderId="1" xfId="6" applyNumberFormat="1" applyFont="1" applyFill="1" applyBorder="1" applyAlignment="1">
      <alignment horizontal="center" vertical="center"/>
    </xf>
    <xf numFmtId="181" fontId="22" fillId="0" borderId="1" xfId="6" applyNumberFormat="1" applyFont="1" applyBorder="1" applyAlignment="1">
      <alignment horizontal="center" vertical="center"/>
    </xf>
    <xf numFmtId="181" fontId="10" fillId="0" borderId="1" xfId="6" applyNumberFormat="1" applyFont="1" applyBorder="1" applyAlignment="1">
      <alignment horizontal="center" vertical="center"/>
    </xf>
    <xf numFmtId="181" fontId="0" fillId="0" borderId="1" xfId="6" applyNumberFormat="1" applyFont="1" applyBorder="1" applyAlignment="1">
      <alignment horizontal="center" vertical="center"/>
    </xf>
    <xf numFmtId="181" fontId="0" fillId="0" borderId="0" xfId="6" applyNumberFormat="1" applyFont="1" applyAlignment="1">
      <alignment horizontal="center" vertical="center"/>
    </xf>
    <xf numFmtId="181" fontId="0" fillId="0" borderId="1" xfId="0" applyNumberFormat="1" applyBorder="1" applyAlignment="1">
      <alignment horizontal="center" vertical="center"/>
    </xf>
    <xf numFmtId="0" fontId="10" fillId="0" borderId="1" xfId="0" applyFont="1" applyBorder="1" applyAlignment="1">
      <alignment vertical="center" wrapText="1"/>
    </xf>
    <xf numFmtId="0" fontId="0" fillId="0" borderId="1" xfId="0" applyBorder="1" applyAlignment="1">
      <alignment horizontal="center" vertical="center"/>
    </xf>
    <xf numFmtId="0" fontId="30" fillId="4" borderId="1" xfId="0" applyFont="1" applyFill="1" applyBorder="1" applyAlignment="1">
      <alignment horizontal="center" vertical="center"/>
    </xf>
    <xf numFmtId="0" fontId="50" fillId="0" borderId="1" xfId="0" applyFont="1" applyBorder="1">
      <alignment vertical="center"/>
    </xf>
    <xf numFmtId="0" fontId="50" fillId="0" borderId="1" xfId="0" applyFont="1" applyBorder="1" applyAlignment="1">
      <alignment horizontal="center"/>
    </xf>
    <xf numFmtId="0" fontId="50" fillId="0" borderId="1" xfId="0" applyFont="1" applyBorder="1" applyAlignment="1">
      <alignment horizontal="left"/>
    </xf>
    <xf numFmtId="9" fontId="50" fillId="0" borderId="1" xfId="4" applyFont="1" applyBorder="1">
      <alignment vertical="center"/>
    </xf>
    <xf numFmtId="0" fontId="67" fillId="0" borderId="1" xfId="5" applyFont="1" applyBorder="1" applyAlignment="1">
      <alignment horizontal="left"/>
    </xf>
    <xf numFmtId="0" fontId="50" fillId="0" borderId="0" xfId="0" applyFont="1" applyAlignment="1">
      <alignment horizontal="center"/>
    </xf>
    <xf numFmtId="179" fontId="10" fillId="0" borderId="1" xfId="6" applyNumberFormat="1" applyFont="1" applyBorder="1">
      <alignment vertical="center"/>
    </xf>
    <xf numFmtId="0" fontId="29" fillId="4" borderId="1" xfId="1" applyFont="1" applyFill="1" applyBorder="1" applyAlignment="1">
      <alignment horizontal="center"/>
    </xf>
    <xf numFmtId="180" fontId="29" fillId="4" borderId="1" xfId="1" applyNumberFormat="1" applyFont="1" applyFill="1" applyBorder="1" applyAlignment="1">
      <alignment horizontal="center"/>
    </xf>
    <xf numFmtId="0" fontId="10" fillId="0" borderId="1" xfId="0" applyFont="1" applyBorder="1">
      <alignment vertical="center"/>
    </xf>
    <xf numFmtId="0" fontId="10" fillId="0" borderId="1" xfId="0" applyFont="1" applyBorder="1" applyAlignment="1">
      <alignment horizontal="left" vertical="center" wrapText="1"/>
    </xf>
    <xf numFmtId="0" fontId="56" fillId="0" borderId="0" xfId="0" applyFont="1" applyAlignment="1">
      <alignment horizontal="left" vertical="center"/>
    </xf>
    <xf numFmtId="0" fontId="0" fillId="0" borderId="0" xfId="0" applyAlignment="1">
      <alignment horizontal="left" vertical="center" wrapText="1"/>
    </xf>
    <xf numFmtId="0" fontId="10" fillId="0" borderId="20" xfId="0" applyFont="1" applyBorder="1" applyAlignment="1">
      <alignment horizontal="center" vertical="center"/>
    </xf>
    <xf numFmtId="0" fontId="10" fillId="0" borderId="22" xfId="0" applyFont="1" applyBorder="1" applyAlignment="1">
      <alignment horizontal="center" vertical="center"/>
    </xf>
    <xf numFmtId="0" fontId="11" fillId="0" borderId="21" xfId="0" applyFont="1" applyBorder="1" applyAlignment="1">
      <alignment horizontal="center" vertical="center" wrapText="1"/>
    </xf>
    <xf numFmtId="0" fontId="11" fillId="0" borderId="34" xfId="0" applyFont="1" applyBorder="1" applyAlignment="1">
      <alignment horizontal="center" vertical="center" wrapText="1"/>
    </xf>
    <xf numFmtId="0" fontId="10" fillId="0" borderId="29" xfId="0" applyFont="1" applyBorder="1" applyAlignment="1">
      <alignment horizontal="center" vertical="center"/>
    </xf>
    <xf numFmtId="0" fontId="10" fillId="0" borderId="33" xfId="0" applyFont="1" applyBorder="1" applyAlignment="1">
      <alignment horizontal="center" vertical="center"/>
    </xf>
    <xf numFmtId="0" fontId="33" fillId="0" borderId="15" xfId="0" applyFont="1" applyBorder="1" applyAlignment="1">
      <alignment horizontal="center" vertical="center" wrapText="1"/>
    </xf>
    <xf numFmtId="0" fontId="33" fillId="0" borderId="16" xfId="0" applyFont="1" applyBorder="1" applyAlignment="1">
      <alignment horizontal="center" vertical="center" wrapText="1"/>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5" fillId="0" borderId="55" xfId="0" applyFont="1" applyBorder="1" applyAlignment="1">
      <alignment horizontal="center" vertical="center"/>
    </xf>
    <xf numFmtId="0" fontId="34" fillId="10" borderId="35" xfId="0" applyFont="1" applyFill="1" applyBorder="1" applyAlignment="1">
      <alignment horizontal="center" vertical="center"/>
    </xf>
    <xf numFmtId="0" fontId="34" fillId="10" borderId="50" xfId="0" applyFont="1" applyFill="1" applyBorder="1" applyAlignment="1">
      <alignment horizontal="center" vertical="center"/>
    </xf>
    <xf numFmtId="0" fontId="35" fillId="10" borderId="48" xfId="0" applyFont="1" applyFill="1" applyBorder="1" applyAlignment="1">
      <alignment horizontal="center" vertical="center"/>
    </xf>
    <xf numFmtId="0" fontId="35" fillId="10" borderId="36" xfId="0" applyFont="1" applyFill="1" applyBorder="1" applyAlignment="1">
      <alignment horizontal="center" vertical="center"/>
    </xf>
    <xf numFmtId="0" fontId="35" fillId="10" borderId="50" xfId="0" applyFont="1" applyFill="1" applyBorder="1" applyAlignment="1">
      <alignment horizontal="center" vertical="center"/>
    </xf>
    <xf numFmtId="0" fontId="36" fillId="10" borderId="48" xfId="0" applyFont="1" applyFill="1" applyBorder="1" applyAlignment="1">
      <alignment horizontal="center" vertical="center"/>
    </xf>
    <xf numFmtId="0" fontId="36" fillId="10" borderId="36" xfId="0" applyFont="1" applyFill="1" applyBorder="1" applyAlignment="1">
      <alignment horizontal="center" vertical="center"/>
    </xf>
    <xf numFmtId="0" fontId="36" fillId="10" borderId="49" xfId="0" applyFont="1" applyFill="1" applyBorder="1" applyAlignment="1">
      <alignment horizontal="center" vertical="center"/>
    </xf>
    <xf numFmtId="0" fontId="15" fillId="0" borderId="30" xfId="0" applyFont="1" applyBorder="1" applyAlignment="1">
      <alignment horizontal="center" vertical="center"/>
    </xf>
    <xf numFmtId="0" fontId="15" fillId="0" borderId="31" xfId="0" applyFont="1" applyBorder="1" applyAlignment="1">
      <alignment horizontal="center" vertical="center"/>
    </xf>
    <xf numFmtId="0" fontId="15" fillId="0" borderId="32" xfId="0" applyFont="1" applyBorder="1" applyAlignment="1">
      <alignment horizontal="center" vertical="center"/>
    </xf>
    <xf numFmtId="0" fontId="35" fillId="10" borderId="35" xfId="0" applyFont="1" applyFill="1" applyBorder="1" applyAlignment="1">
      <alignment horizontal="center" vertical="center"/>
    </xf>
    <xf numFmtId="0" fontId="34" fillId="10" borderId="46" xfId="0" applyFont="1" applyFill="1" applyBorder="1" applyAlignment="1">
      <alignment horizontal="center" vertical="center"/>
    </xf>
    <xf numFmtId="0" fontId="34" fillId="10" borderId="47" xfId="0" applyFont="1" applyFill="1" applyBorder="1" applyAlignment="1">
      <alignment horizontal="center" vertical="center"/>
    </xf>
    <xf numFmtId="0" fontId="34" fillId="10" borderId="56" xfId="0" applyFont="1" applyFill="1" applyBorder="1" applyAlignment="1">
      <alignment horizontal="center" vertical="center"/>
    </xf>
    <xf numFmtId="0" fontId="34" fillId="10" borderId="44" xfId="0" applyFont="1" applyFill="1" applyBorder="1" applyAlignment="1">
      <alignment horizontal="center" vertical="center"/>
    </xf>
    <xf numFmtId="0" fontId="34" fillId="10" borderId="18" xfId="0" applyFont="1" applyFill="1" applyBorder="1" applyAlignment="1">
      <alignment horizontal="center" vertical="center"/>
    </xf>
    <xf numFmtId="0" fontId="35" fillId="10" borderId="42" xfId="0" applyFont="1" applyFill="1" applyBorder="1" applyAlignment="1">
      <alignment horizontal="center" vertical="center"/>
    </xf>
    <xf numFmtId="0" fontId="35" fillId="10" borderId="43" xfId="0" applyFont="1" applyFill="1" applyBorder="1" applyAlignment="1">
      <alignment horizontal="center" vertical="center"/>
    </xf>
    <xf numFmtId="0" fontId="35" fillId="10" borderId="18" xfId="0" applyFont="1" applyFill="1" applyBorder="1" applyAlignment="1">
      <alignment horizontal="center" vertical="center"/>
    </xf>
    <xf numFmtId="0" fontId="36" fillId="10" borderId="42" xfId="0" applyFont="1" applyFill="1" applyBorder="1" applyAlignment="1">
      <alignment horizontal="center" vertical="center"/>
    </xf>
    <xf numFmtId="0" fontId="36" fillId="10" borderId="43" xfId="0" applyFont="1" applyFill="1" applyBorder="1" applyAlignment="1">
      <alignment horizontal="center" vertical="center"/>
    </xf>
    <xf numFmtId="0" fontId="36" fillId="10" borderId="18" xfId="0" applyFont="1" applyFill="1" applyBorder="1" applyAlignment="1">
      <alignment horizontal="center" vertical="center"/>
    </xf>
    <xf numFmtId="0" fontId="31" fillId="0" borderId="21" xfId="0" applyFont="1" applyBorder="1" applyAlignment="1">
      <alignment horizontal="center" vertical="center" wrapText="1"/>
    </xf>
    <xf numFmtId="0" fontId="31" fillId="0" borderId="20" xfId="0" applyFont="1" applyBorder="1" applyAlignment="1">
      <alignment horizontal="center" vertical="center" wrapText="1"/>
    </xf>
    <xf numFmtId="0" fontId="30" fillId="61" borderId="1" xfId="0" applyFont="1" applyFill="1" applyBorder="1" applyAlignment="1">
      <alignment horizontal="center" vertical="center"/>
    </xf>
    <xf numFmtId="0" fontId="42" fillId="9" borderId="28" xfId="0" applyFont="1" applyFill="1" applyBorder="1" applyAlignment="1">
      <alignment horizontal="center" vertical="center" wrapText="1"/>
    </xf>
    <xf numFmtId="0" fontId="42" fillId="9" borderId="27" xfId="0" applyFont="1" applyFill="1" applyBorder="1" applyAlignment="1">
      <alignment horizontal="center" vertical="center" wrapText="1"/>
    </xf>
    <xf numFmtId="0" fontId="42" fillId="9" borderId="2" xfId="0" applyFont="1" applyFill="1" applyBorder="1" applyAlignment="1">
      <alignment horizontal="center" vertical="center" wrapText="1"/>
    </xf>
    <xf numFmtId="0" fontId="42" fillId="9" borderId="51" xfId="0" applyFont="1" applyFill="1" applyBorder="1" applyAlignment="1">
      <alignment horizontal="center" vertical="center" wrapText="1"/>
    </xf>
    <xf numFmtId="0" fontId="42" fillId="9" borderId="3" xfId="0" applyFont="1" applyFill="1" applyBorder="1" applyAlignment="1">
      <alignment horizontal="center" vertical="center" wrapText="1"/>
    </xf>
    <xf numFmtId="0" fontId="42" fillId="9" borderId="9" xfId="0" applyFont="1" applyFill="1" applyBorder="1" applyAlignment="1">
      <alignment horizontal="center" vertical="center" wrapText="1"/>
    </xf>
    <xf numFmtId="0" fontId="42" fillId="9" borderId="0" xfId="0" applyFont="1" applyFill="1" applyAlignment="1">
      <alignment horizontal="center" vertical="center" wrapText="1"/>
    </xf>
    <xf numFmtId="0" fontId="42" fillId="9" borderId="10" xfId="0" applyFont="1" applyFill="1" applyBorder="1" applyAlignment="1">
      <alignment horizontal="center" vertical="center" wrapText="1"/>
    </xf>
    <xf numFmtId="0" fontId="42" fillId="9" borderId="1" xfId="0" applyFont="1" applyFill="1" applyBorder="1" applyAlignment="1">
      <alignment horizontal="center" vertical="center" wrapText="1"/>
    </xf>
    <xf numFmtId="0" fontId="22" fillId="13" borderId="1" xfId="0" applyFont="1" applyFill="1" applyBorder="1" applyAlignment="1">
      <alignment horizontal="center" vertical="center" wrapText="1"/>
    </xf>
    <xf numFmtId="0" fontId="42" fillId="13"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10" fillId="0" borderId="28" xfId="0" applyFont="1" applyBorder="1" applyAlignment="1">
      <alignment horizontal="left" vertical="center"/>
    </xf>
    <xf numFmtId="0" fontId="10" fillId="0" borderId="27" xfId="0" applyFont="1" applyBorder="1" applyAlignment="1">
      <alignment horizontal="left" vertical="center"/>
    </xf>
    <xf numFmtId="0" fontId="10" fillId="0" borderId="28" xfId="0" applyFont="1" applyBorder="1" applyAlignment="1">
      <alignment horizontal="left" vertical="top" wrapText="1"/>
    </xf>
    <xf numFmtId="0" fontId="10" fillId="0" borderId="4" xfId="0" applyFont="1" applyBorder="1" applyAlignment="1">
      <alignment horizontal="left" vertical="top" wrapText="1"/>
    </xf>
    <xf numFmtId="0" fontId="10" fillId="0" borderId="27" xfId="0" applyFont="1" applyBorder="1" applyAlignment="1">
      <alignment horizontal="left" vertical="top" wrapText="1"/>
    </xf>
    <xf numFmtId="0" fontId="10" fillId="0" borderId="28" xfId="0" applyFont="1" applyBorder="1" applyAlignment="1">
      <alignment horizontal="left" vertical="center" wrapText="1"/>
    </xf>
    <xf numFmtId="0" fontId="10" fillId="0" borderId="4" xfId="0" applyFont="1" applyBorder="1" applyAlignment="1">
      <alignment horizontal="left" vertical="center" wrapText="1"/>
    </xf>
    <xf numFmtId="0" fontId="10" fillId="0" borderId="27" xfId="0" applyFont="1" applyBorder="1" applyAlignment="1">
      <alignment horizontal="left" vertical="center" wrapText="1"/>
    </xf>
    <xf numFmtId="0" fontId="68" fillId="13" borderId="1" xfId="0" applyFont="1" applyFill="1" applyBorder="1" applyAlignment="1">
      <alignment horizontal="center" vertical="center" wrapText="1"/>
    </xf>
    <xf numFmtId="181" fontId="10" fillId="0" borderId="28" xfId="0" applyNumberFormat="1" applyFont="1" applyBorder="1" applyAlignment="1">
      <alignment horizontal="center" vertical="center"/>
    </xf>
    <xf numFmtId="181" fontId="10" fillId="0" borderId="27" xfId="0" applyNumberFormat="1" applyFont="1" applyBorder="1" applyAlignment="1">
      <alignment horizontal="center" vertical="center"/>
    </xf>
    <xf numFmtId="0" fontId="52" fillId="13" borderId="28" xfId="0" applyFont="1" applyFill="1" applyBorder="1" applyAlignment="1">
      <alignment horizontal="center" vertical="center"/>
    </xf>
    <xf numFmtId="0" fontId="52" fillId="13" borderId="27" xfId="0" applyFont="1" applyFill="1" applyBorder="1" applyAlignment="1">
      <alignment horizontal="center" vertical="center"/>
    </xf>
    <xf numFmtId="0" fontId="52" fillId="13" borderId="1" xfId="0" applyFont="1" applyFill="1" applyBorder="1" applyAlignment="1">
      <alignment horizontal="center" vertical="center"/>
    </xf>
    <xf numFmtId="0" fontId="54" fillId="0" borderId="1" xfId="0" applyFont="1" applyBorder="1" applyAlignment="1">
      <alignment horizontal="center" vertical="center" wrapText="1"/>
    </xf>
    <xf numFmtId="0" fontId="53" fillId="0" borderId="1" xfId="0" applyFont="1" applyBorder="1" applyAlignment="1">
      <alignment horizontal="center" vertical="center" wrapText="1"/>
    </xf>
    <xf numFmtId="181" fontId="10" fillId="0" borderId="4" xfId="0" applyNumberFormat="1" applyFont="1" applyBorder="1" applyAlignment="1">
      <alignment horizontal="center" vertical="center"/>
    </xf>
    <xf numFmtId="0" fontId="52" fillId="13" borderId="1" xfId="0" applyFont="1" applyFill="1" applyBorder="1" applyAlignment="1">
      <alignment horizontal="center" vertical="center" wrapText="1"/>
    </xf>
    <xf numFmtId="0" fontId="10" fillId="0" borderId="1" xfId="0" applyFont="1" applyBorder="1" applyAlignment="1">
      <alignment horizontal="left" vertical="top" wrapText="1"/>
    </xf>
    <xf numFmtId="9" fontId="10" fillId="0" borderId="1" xfId="4" applyFont="1" applyBorder="1" applyAlignment="1">
      <alignment horizontal="center" vertical="center"/>
    </xf>
    <xf numFmtId="0" fontId="53" fillId="0" borderId="1" xfId="0" applyFont="1" applyBorder="1" applyAlignment="1">
      <alignment horizontal="center" vertical="center"/>
    </xf>
    <xf numFmtId="9" fontId="10" fillId="0" borderId="28" xfId="4" applyFont="1" applyBorder="1" applyAlignment="1">
      <alignment horizontal="center" vertical="center"/>
    </xf>
    <xf numFmtId="9" fontId="10" fillId="0" borderId="27" xfId="4" applyFont="1" applyBorder="1" applyAlignment="1">
      <alignment horizontal="center" vertical="center"/>
    </xf>
    <xf numFmtId="9" fontId="10" fillId="0" borderId="4" xfId="4" applyFont="1" applyBorder="1" applyAlignment="1">
      <alignment horizontal="center" vertical="center"/>
    </xf>
    <xf numFmtId="9" fontId="60" fillId="4" borderId="0" xfId="4" applyFont="1" applyFill="1" applyBorder="1" applyAlignment="1">
      <alignment horizontal="center" vertical="center"/>
    </xf>
    <xf numFmtId="0" fontId="60" fillId="4" borderId="11" xfId="0" applyFont="1" applyFill="1" applyBorder="1" applyAlignment="1">
      <alignment horizontal="center" vertical="center"/>
    </xf>
    <xf numFmtId="0" fontId="60" fillId="4" borderId="12" xfId="0" applyFont="1" applyFill="1" applyBorder="1" applyAlignment="1">
      <alignment horizontal="center" vertical="center"/>
    </xf>
    <xf numFmtId="181" fontId="51" fillId="0" borderId="28" xfId="6" applyNumberFormat="1" applyFont="1" applyBorder="1" applyAlignment="1">
      <alignment horizontal="center" vertical="center"/>
    </xf>
    <xf numFmtId="181" fontId="51" fillId="0" borderId="27" xfId="6" applyNumberFormat="1" applyFont="1" applyBorder="1" applyAlignment="1">
      <alignment horizontal="center" vertical="center"/>
    </xf>
    <xf numFmtId="9" fontId="50" fillId="0" borderId="1" xfId="4" applyFont="1" applyBorder="1" applyAlignment="1">
      <alignment horizontal="center" vertical="center"/>
    </xf>
    <xf numFmtId="181" fontId="51" fillId="0" borderId="4" xfId="6" applyNumberFormat="1" applyFont="1" applyBorder="1" applyAlignment="1">
      <alignment horizontal="center" vertical="center"/>
    </xf>
    <xf numFmtId="0" fontId="49" fillId="0" borderId="1" xfId="0" applyFont="1" applyBorder="1">
      <alignment vertical="center"/>
    </xf>
    <xf numFmtId="181" fontId="61" fillId="0" borderId="28" xfId="6" applyNumberFormat="1" applyFont="1" applyBorder="1" applyAlignment="1">
      <alignment horizontal="center" vertical="center"/>
    </xf>
    <xf numFmtId="181" fontId="61" fillId="0" borderId="4" xfId="6" applyNumberFormat="1" applyFont="1" applyBorder="1" applyAlignment="1">
      <alignment horizontal="center" vertical="center"/>
    </xf>
    <xf numFmtId="181" fontId="61" fillId="0" borderId="27" xfId="6" applyNumberFormat="1" applyFont="1" applyBorder="1" applyAlignment="1">
      <alignment horizontal="center" vertical="center"/>
    </xf>
    <xf numFmtId="0" fontId="51" fillId="0" borderId="1" xfId="0" applyFont="1" applyBorder="1" applyAlignment="1">
      <alignment horizontal="center" vertical="center"/>
    </xf>
    <xf numFmtId="0" fontId="46" fillId="13" borderId="1" xfId="0" applyFont="1" applyFill="1" applyBorder="1" applyAlignment="1">
      <alignment horizontal="center" vertical="center"/>
    </xf>
    <xf numFmtId="0" fontId="46" fillId="13" borderId="1" xfId="0" applyFont="1" applyFill="1" applyBorder="1" applyAlignment="1">
      <alignment horizontal="center" vertical="center" wrapText="1"/>
    </xf>
    <xf numFmtId="9" fontId="47" fillId="4" borderId="1" xfId="4" applyFont="1" applyFill="1" applyBorder="1" applyAlignment="1">
      <alignment horizontal="center" vertical="center" wrapText="1"/>
    </xf>
    <xf numFmtId="0" fontId="60" fillId="4"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29" fillId="4" borderId="2" xfId="1" applyFont="1" applyFill="1" applyBorder="1" applyAlignment="1">
      <alignment horizontal="center"/>
    </xf>
    <xf numFmtId="0" fontId="29" fillId="4" borderId="3" xfId="1" applyFont="1" applyFill="1" applyBorder="1" applyAlignment="1">
      <alignment horizontal="center"/>
    </xf>
  </cellXfs>
  <cellStyles count="11">
    <cellStyle name="Comma" xfId="6" builtinId="3"/>
    <cellStyle name="Comma 2" xfId="2" xr:uid="{656A111E-65EF-8E44-95DC-E2E0477DBE0A}"/>
    <cellStyle name="Comma 3" xfId="8" xr:uid="{8782A8FB-5EB3-B14F-8855-DFD099031BE9}"/>
    <cellStyle name="Hyperlink" xfId="5" builtinId="8"/>
    <cellStyle name="Hyperlink 2" xfId="9" xr:uid="{D26171E0-77FE-FB46-A809-FDAB0A012C8E}"/>
    <cellStyle name="Hyperlink 3" xfId="10" xr:uid="{B17F4B3C-3BE9-634A-84C6-F79F1AC80A8F}"/>
    <cellStyle name="Normal" xfId="0" builtinId="0"/>
    <cellStyle name="Normal 2" xfId="1" xr:uid="{D1C55673-EBB0-E848-A42F-4FB3D97EC512}"/>
    <cellStyle name="Normal 3" xfId="7" xr:uid="{F07008C1-CA3E-C54F-BD45-DB83824BD712}"/>
    <cellStyle name="Percent" xfId="4" builtinId="5"/>
    <cellStyle name="Percent 2" xfId="3" xr:uid="{EF32EAF1-C3C9-FC40-9415-44DC082E01D4}"/>
  </cellStyles>
  <dxfs count="40">
    <dxf>
      <fill>
        <patternFill>
          <bgColor theme="0" tint="-4.9989318521683403E-2"/>
        </patternFill>
      </fill>
    </dxf>
    <dxf>
      <fill>
        <patternFill>
          <bgColor theme="0" tint="-4.9989318521683403E-2"/>
        </patternFill>
      </fill>
    </dxf>
    <dxf>
      <fill>
        <patternFill>
          <bgColor rgb="FFF2F2F2"/>
        </patternFill>
      </fill>
    </dxf>
    <dxf>
      <fill>
        <patternFill>
          <bgColor rgb="FFF2F2F2"/>
        </patternFill>
      </fill>
    </dxf>
    <dxf>
      <fill>
        <patternFill>
          <bgColor rgb="FFF2F2F2"/>
        </patternFill>
      </fill>
    </dxf>
    <dxf>
      <fill>
        <patternFill>
          <bgColor theme="0" tint="-4.9989318521683403E-2"/>
        </patternFill>
      </fill>
    </dxf>
    <dxf>
      <fill>
        <patternFill>
          <bgColor theme="0" tint="-4.9989318521683403E-2"/>
        </patternFill>
      </fill>
    </dxf>
    <dxf>
      <font>
        <color theme="0"/>
      </font>
      <fill>
        <patternFill>
          <bgColor theme="9"/>
        </patternFill>
      </fill>
    </dxf>
    <dxf>
      <font>
        <color theme="0"/>
      </font>
      <fill>
        <patternFill>
          <bgColor theme="8"/>
        </patternFill>
      </fill>
    </dxf>
    <dxf>
      <font>
        <color theme="0"/>
      </font>
      <fill>
        <patternFill>
          <bgColor theme="6"/>
        </patternFill>
      </fill>
    </dxf>
    <dxf>
      <font>
        <color theme="0"/>
      </font>
      <fill>
        <patternFill>
          <bgColor theme="9"/>
        </patternFill>
      </fill>
    </dxf>
    <dxf>
      <font>
        <color theme="0"/>
      </font>
      <fill>
        <patternFill>
          <bgColor theme="8"/>
        </patternFill>
      </fill>
    </dxf>
    <dxf>
      <font>
        <color theme="0"/>
      </font>
      <fill>
        <patternFill>
          <bgColor theme="6"/>
        </patternFill>
      </fill>
    </dxf>
    <dxf>
      <font>
        <color theme="0"/>
      </font>
      <fill>
        <patternFill>
          <bgColor theme="9"/>
        </patternFill>
      </fill>
    </dxf>
    <dxf>
      <font>
        <color theme="0"/>
      </font>
      <fill>
        <patternFill>
          <bgColor theme="8"/>
        </patternFill>
      </fill>
    </dxf>
    <dxf>
      <font>
        <color theme="0"/>
      </font>
      <fill>
        <patternFill>
          <bgColor theme="6"/>
        </patternFill>
      </fill>
    </dxf>
    <dxf>
      <font>
        <color theme="0"/>
      </font>
      <fill>
        <patternFill>
          <bgColor theme="9"/>
        </patternFill>
      </fill>
    </dxf>
    <dxf>
      <font>
        <color theme="0"/>
      </font>
      <fill>
        <patternFill>
          <bgColor theme="8"/>
        </patternFill>
      </fill>
    </dxf>
    <dxf>
      <font>
        <color theme="0"/>
      </font>
      <fill>
        <patternFill>
          <bgColor theme="6"/>
        </patternFill>
      </fill>
    </dxf>
    <dxf>
      <font>
        <color theme="0"/>
      </font>
      <fill>
        <patternFill>
          <bgColor theme="9"/>
        </patternFill>
      </fill>
    </dxf>
    <dxf>
      <font>
        <color theme="0"/>
      </font>
      <fill>
        <patternFill>
          <bgColor theme="8"/>
        </patternFill>
      </fill>
    </dxf>
    <dxf>
      <font>
        <color theme="0"/>
      </font>
      <fill>
        <patternFill>
          <bgColor theme="6"/>
        </patternFill>
      </fill>
    </dxf>
    <dxf>
      <font>
        <color theme="0"/>
      </font>
      <fill>
        <patternFill>
          <bgColor theme="9"/>
        </patternFill>
      </fill>
    </dxf>
    <dxf>
      <font>
        <color theme="0"/>
      </font>
      <fill>
        <patternFill>
          <bgColor theme="8"/>
        </patternFill>
      </fill>
    </dxf>
    <dxf>
      <font>
        <color theme="0"/>
      </font>
      <fill>
        <patternFill>
          <bgColor theme="6"/>
        </patternFill>
      </fill>
    </dxf>
    <dxf>
      <font>
        <color theme="0"/>
      </font>
      <fill>
        <patternFill>
          <bgColor theme="9"/>
        </patternFill>
      </fill>
    </dxf>
    <dxf>
      <font>
        <color theme="0"/>
      </font>
      <fill>
        <patternFill>
          <bgColor theme="8"/>
        </patternFill>
      </fill>
    </dxf>
    <dxf>
      <font>
        <color theme="0"/>
      </font>
      <fill>
        <patternFill>
          <bgColor theme="6"/>
        </patternFill>
      </fill>
    </dxf>
    <dxf>
      <fill>
        <patternFill patternType="solid">
          <fgColor rgb="FFF3F3F3"/>
          <bgColor rgb="FFF3F3F3"/>
        </patternFill>
      </fill>
    </dxf>
    <dxf>
      <fill>
        <patternFill patternType="solid">
          <fgColor rgb="FFFFFFFF"/>
          <bgColor rgb="FFFFFFFF"/>
        </patternFill>
      </fill>
    </dxf>
    <dxf>
      <fill>
        <patternFill patternType="solid">
          <fgColor rgb="FF45818E"/>
          <bgColor rgb="FF45818E"/>
        </patternFill>
      </fill>
    </dxf>
    <dxf>
      <fill>
        <patternFill patternType="solid">
          <fgColor rgb="FFF3F3F3"/>
          <bgColor rgb="FFF3F3F3"/>
        </patternFill>
      </fill>
    </dxf>
    <dxf>
      <fill>
        <patternFill patternType="solid">
          <fgColor rgb="FFFFFFFF"/>
          <bgColor rgb="FFFFFFFF"/>
        </patternFill>
      </fill>
    </dxf>
    <dxf>
      <fill>
        <patternFill patternType="solid">
          <fgColor rgb="FF45818E"/>
          <bgColor rgb="FF45818E"/>
        </patternFill>
      </fill>
    </dxf>
    <dxf>
      <fill>
        <patternFill patternType="solid">
          <fgColor rgb="FFF3F3F3"/>
          <bgColor rgb="FFF3F3F3"/>
        </patternFill>
      </fill>
    </dxf>
    <dxf>
      <fill>
        <patternFill patternType="solid">
          <fgColor rgb="FFFFFFFF"/>
          <bgColor rgb="FFFFFFFF"/>
        </patternFill>
      </fill>
    </dxf>
    <dxf>
      <fill>
        <patternFill patternType="solid">
          <fgColor rgb="FF45818E"/>
          <bgColor rgb="FF45818E"/>
        </patternFill>
      </fill>
    </dxf>
    <dxf>
      <fill>
        <patternFill patternType="solid">
          <fgColor rgb="FFF3F3F3"/>
          <bgColor rgb="FFF3F3F3"/>
        </patternFill>
      </fill>
    </dxf>
    <dxf>
      <fill>
        <patternFill patternType="solid">
          <fgColor rgb="FFFFFFFF"/>
          <bgColor rgb="FFFFFFFF"/>
        </patternFill>
      </fill>
    </dxf>
    <dxf>
      <fill>
        <patternFill patternType="solid">
          <fgColor rgb="FF45818E"/>
          <bgColor rgb="FF45818E"/>
        </patternFill>
      </fill>
    </dxf>
  </dxfs>
  <tableStyles count="4" defaultTableStyle="TableStyleMedium2" defaultPivotStyle="PivotStyleLight16">
    <tableStyle name="Live tracking-style" pivot="0" count="3" xr9:uid="{30D7596A-6409-5544-B801-B804F9B4BF98}">
      <tableStyleElement type="headerRow" dxfId="39"/>
      <tableStyleElement type="firstRowStripe" dxfId="38"/>
      <tableStyleElement type="secondRowStripe" dxfId="37"/>
    </tableStyle>
    <tableStyle name="Live tracking-style 2" pivot="0" count="3" xr9:uid="{1E54527F-9810-4E43-A805-F4476EA1A400}">
      <tableStyleElement type="headerRow" dxfId="36"/>
      <tableStyleElement type="firstRowStripe" dxfId="35"/>
      <tableStyleElement type="secondRowStripe" dxfId="34"/>
    </tableStyle>
    <tableStyle name="Live tracking-style 3" pivot="0" count="3" xr9:uid="{3D8F318F-4870-6041-9D36-A18B3E0D99DD}">
      <tableStyleElement type="headerRow" dxfId="33"/>
      <tableStyleElement type="firstRowStripe" dxfId="32"/>
      <tableStyleElement type="secondRowStripe" dxfId="31"/>
    </tableStyle>
    <tableStyle name="Live tracking-style 4" pivot="0" count="3" xr9:uid="{EA4FBD74-AEE4-7C49-A77C-FBA157D0E248}">
      <tableStyleElement type="headerRow" dxfId="30"/>
      <tableStyleElement type="firstRowStripe" dxfId="29"/>
      <tableStyleElement type="secondRowStripe" dxfId="28"/>
    </tableStyle>
  </tableStyles>
  <colors>
    <mruColors>
      <color rgb="FF35444D"/>
      <color rgb="FF36434E"/>
      <color rgb="FF00BAE2"/>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heicct.sharepoint.com/sites/PV-Global-2021-Auto-Ranking/Shared%20Documents/General/GAR%202.0/Information%20and%20data%20collection/TreemapOEMs_Tab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
      <sheetName val="Sheet1"/>
      <sheetName val="i28_data"/>
      <sheetName val="Chart2030"/>
      <sheetName val="Chart2035"/>
      <sheetName val="Chart2"/>
    </sheetNames>
    <sheetDataSet>
      <sheetData sheetId="0" refreshError="1"/>
      <sheetData sheetId="1" refreshError="1"/>
      <sheetData sheetId="2">
        <row r="1">
          <cell r="A1" t="str">
            <v>make</v>
          </cell>
          <cell r="B1" t="str">
            <v>regs_2020</v>
          </cell>
          <cell r="C1" t="str">
            <v>regs_2021</v>
          </cell>
          <cell r="D1" t="str">
            <v>bev_regs_2021</v>
          </cell>
          <cell r="E1" t="str">
            <v>bev_share_2021</v>
          </cell>
        </row>
        <row r="2">
          <cell r="A2" t="str">
            <v>Alfa Romeo</v>
          </cell>
          <cell r="B2">
            <v>32567</v>
          </cell>
          <cell r="C2">
            <v>23524</v>
          </cell>
          <cell r="D2">
            <v>0</v>
          </cell>
          <cell r="E2">
            <v>0</v>
          </cell>
        </row>
        <row r="3">
          <cell r="A3" t="str">
            <v>Audi</v>
          </cell>
          <cell r="B3">
            <v>477144</v>
          </cell>
          <cell r="C3">
            <v>461506</v>
          </cell>
          <cell r="D3">
            <v>42973</v>
          </cell>
          <cell r="E3">
            <v>9.3114715735006695E-2</v>
          </cell>
        </row>
        <row r="4">
          <cell r="A4" t="str">
            <v>BMW</v>
          </cell>
          <cell r="B4">
            <v>537072</v>
          </cell>
          <cell r="C4">
            <v>544479</v>
          </cell>
          <cell r="D4">
            <v>37675</v>
          </cell>
          <cell r="E4">
            <v>6.9194587853709605E-2</v>
          </cell>
        </row>
        <row r="5">
          <cell r="A5" t="str">
            <v>Bugatti</v>
          </cell>
          <cell r="B5" t="str">
            <v>NA</v>
          </cell>
          <cell r="C5" t="str">
            <v>NA</v>
          </cell>
          <cell r="D5">
            <v>0</v>
          </cell>
          <cell r="E5" t="str">
            <v>NA</v>
          </cell>
        </row>
        <row r="6">
          <cell r="A6" t="str">
            <v>Chevrolet</v>
          </cell>
          <cell r="B6">
            <v>127</v>
          </cell>
          <cell r="C6">
            <v>381</v>
          </cell>
          <cell r="D6">
            <v>3</v>
          </cell>
          <cell r="E6">
            <v>7.8740157480314907E-3</v>
          </cell>
        </row>
        <row r="7">
          <cell r="A7" t="str">
            <v>Chrysler</v>
          </cell>
          <cell r="B7">
            <v>58</v>
          </cell>
          <cell r="C7">
            <v>82</v>
          </cell>
          <cell r="D7">
            <v>0</v>
          </cell>
          <cell r="E7">
            <v>0</v>
          </cell>
        </row>
        <row r="8">
          <cell r="A8" t="str">
            <v>Citroen</v>
          </cell>
          <cell r="B8">
            <v>430528</v>
          </cell>
          <cell r="C8">
            <v>419985</v>
          </cell>
          <cell r="D8">
            <v>11803</v>
          </cell>
          <cell r="E8">
            <v>2.8103384644689599E-2</v>
          </cell>
        </row>
        <row r="9">
          <cell r="A9" t="str">
            <v>Cupra</v>
          </cell>
          <cell r="B9">
            <v>12652</v>
          </cell>
          <cell r="C9">
            <v>61125</v>
          </cell>
          <cell r="D9">
            <v>3110</v>
          </cell>
          <cell r="E9">
            <v>5.0879345603271897E-2</v>
          </cell>
        </row>
        <row r="10">
          <cell r="A10" t="str">
            <v>Dacia</v>
          </cell>
          <cell r="B10">
            <v>375353</v>
          </cell>
          <cell r="C10">
            <v>382108</v>
          </cell>
          <cell r="D10">
            <v>27296</v>
          </cell>
          <cell r="E10">
            <v>7.1435301014372898E-2</v>
          </cell>
        </row>
        <row r="11">
          <cell r="A11" t="str">
            <v>Dodge</v>
          </cell>
          <cell r="B11">
            <v>240</v>
          </cell>
          <cell r="C11">
            <v>238</v>
          </cell>
          <cell r="D11">
            <v>0</v>
          </cell>
          <cell r="E11">
            <v>0</v>
          </cell>
        </row>
        <row r="12">
          <cell r="A12" t="str">
            <v>DS</v>
          </cell>
          <cell r="B12">
            <v>40080</v>
          </cell>
          <cell r="C12">
            <v>39863</v>
          </cell>
          <cell r="D12">
            <v>2882</v>
          </cell>
          <cell r="E12">
            <v>7.2297619346260902E-2</v>
          </cell>
        </row>
        <row r="13">
          <cell r="A13" t="str">
            <v>E.go</v>
          </cell>
          <cell r="B13">
            <v>539</v>
          </cell>
          <cell r="C13">
            <v>2</v>
          </cell>
          <cell r="D13">
            <v>2</v>
          </cell>
          <cell r="E13">
            <v>1</v>
          </cell>
        </row>
        <row r="14">
          <cell r="A14" t="str">
            <v>Fiat</v>
          </cell>
          <cell r="B14">
            <v>468629</v>
          </cell>
          <cell r="C14">
            <v>455362</v>
          </cell>
          <cell r="D14">
            <v>40178</v>
          </cell>
          <cell r="E14">
            <v>8.8233098062640195E-2</v>
          </cell>
        </row>
        <row r="15">
          <cell r="A15" t="str">
            <v>Ford</v>
          </cell>
          <cell r="B15">
            <v>525516</v>
          </cell>
          <cell r="C15">
            <v>432787</v>
          </cell>
          <cell r="D15">
            <v>20234</v>
          </cell>
          <cell r="E15">
            <v>4.6752790633729703E-2</v>
          </cell>
        </row>
        <row r="16">
          <cell r="A16" t="str">
            <v>Great Wall</v>
          </cell>
          <cell r="B16">
            <v>369</v>
          </cell>
          <cell r="C16">
            <v>749</v>
          </cell>
          <cell r="D16">
            <v>0</v>
          </cell>
          <cell r="E16">
            <v>0</v>
          </cell>
        </row>
        <row r="17">
          <cell r="A17" t="str">
            <v>Honda</v>
          </cell>
          <cell r="B17">
            <v>51564</v>
          </cell>
          <cell r="C17">
            <v>38951</v>
          </cell>
          <cell r="D17">
            <v>2529</v>
          </cell>
          <cell r="E17">
            <v>6.4927729711689003E-2</v>
          </cell>
        </row>
        <row r="18">
          <cell r="A18" t="str">
            <v>Hyundai</v>
          </cell>
          <cell r="B18">
            <v>366268</v>
          </cell>
          <cell r="C18">
            <v>433448</v>
          </cell>
          <cell r="D18">
            <v>59306</v>
          </cell>
          <cell r="E18">
            <v>0.13682379431904099</v>
          </cell>
        </row>
        <row r="19">
          <cell r="A19" t="str">
            <v>Isuzu</v>
          </cell>
          <cell r="B19">
            <v>2</v>
          </cell>
          <cell r="C19">
            <v>1</v>
          </cell>
          <cell r="D19">
            <v>0</v>
          </cell>
          <cell r="E19">
            <v>0</v>
          </cell>
        </row>
        <row r="20">
          <cell r="A20" t="str">
            <v>Iveco</v>
          </cell>
          <cell r="B20">
            <v>1092</v>
          </cell>
          <cell r="C20">
            <v>1085</v>
          </cell>
          <cell r="D20">
            <v>0</v>
          </cell>
          <cell r="E20">
            <v>0</v>
          </cell>
        </row>
        <row r="21">
          <cell r="A21" t="str">
            <v>Jaguar</v>
          </cell>
          <cell r="B21">
            <v>21940</v>
          </cell>
          <cell r="C21">
            <v>17528</v>
          </cell>
          <cell r="D21">
            <v>2678</v>
          </cell>
          <cell r="E21">
            <v>0.15278411684162399</v>
          </cell>
        </row>
        <row r="22">
          <cell r="A22" t="str">
            <v>Jeep</v>
          </cell>
          <cell r="B22">
            <v>115337</v>
          </cell>
          <cell r="C22">
            <v>121047</v>
          </cell>
          <cell r="D22">
            <v>0</v>
          </cell>
          <cell r="E22">
            <v>0</v>
          </cell>
        </row>
        <row r="23">
          <cell r="A23" t="str">
            <v>Kia</v>
          </cell>
          <cell r="B23">
            <v>346258</v>
          </cell>
          <cell r="C23">
            <v>408225</v>
          </cell>
          <cell r="D23">
            <v>48399</v>
          </cell>
          <cell r="E23">
            <v>0.118559617857799</v>
          </cell>
        </row>
        <row r="24">
          <cell r="A24" t="str">
            <v>Lada</v>
          </cell>
          <cell r="B24">
            <v>2057</v>
          </cell>
          <cell r="C24">
            <v>1904</v>
          </cell>
          <cell r="D24">
            <v>0</v>
          </cell>
          <cell r="E24">
            <v>0</v>
          </cell>
        </row>
        <row r="25">
          <cell r="A25" t="str">
            <v>Lancia</v>
          </cell>
          <cell r="B25">
            <v>43009</v>
          </cell>
          <cell r="C25">
            <v>43735</v>
          </cell>
          <cell r="D25">
            <v>0</v>
          </cell>
          <cell r="E25">
            <v>0</v>
          </cell>
        </row>
        <row r="26">
          <cell r="A26" t="str">
            <v>Land Rover</v>
          </cell>
          <cell r="B26">
            <v>51446</v>
          </cell>
          <cell r="C26">
            <v>48445</v>
          </cell>
          <cell r="D26">
            <v>0</v>
          </cell>
          <cell r="E26">
            <v>0</v>
          </cell>
        </row>
        <row r="27">
          <cell r="A27" t="str">
            <v>LEVC</v>
          </cell>
          <cell r="B27">
            <v>77</v>
          </cell>
          <cell r="C27">
            <v>76</v>
          </cell>
          <cell r="D27">
            <v>0</v>
          </cell>
          <cell r="E27">
            <v>0</v>
          </cell>
        </row>
        <row r="28">
          <cell r="A28" t="str">
            <v>Lexus</v>
          </cell>
          <cell r="B28">
            <v>32762</v>
          </cell>
          <cell r="C28">
            <v>33165</v>
          </cell>
          <cell r="D28">
            <v>1751</v>
          </cell>
          <cell r="E28">
            <v>5.2796622945876601E-2</v>
          </cell>
        </row>
        <row r="29">
          <cell r="A29" t="str">
            <v>MAN</v>
          </cell>
          <cell r="B29">
            <v>584</v>
          </cell>
          <cell r="C29">
            <v>1230</v>
          </cell>
          <cell r="D29">
            <v>17</v>
          </cell>
          <cell r="E29">
            <v>1.3821138211382099E-2</v>
          </cell>
        </row>
        <row r="30">
          <cell r="A30" t="str">
            <v>Maserati</v>
          </cell>
          <cell r="B30">
            <v>2638</v>
          </cell>
          <cell r="C30">
            <v>3163</v>
          </cell>
          <cell r="D30">
            <v>0</v>
          </cell>
          <cell r="E30">
            <v>0</v>
          </cell>
        </row>
        <row r="31">
          <cell r="A31" t="str">
            <v>Mazda</v>
          </cell>
          <cell r="B31">
            <v>121788</v>
          </cell>
          <cell r="C31">
            <v>124595</v>
          </cell>
          <cell r="D31">
            <v>9245</v>
          </cell>
          <cell r="E31">
            <v>7.4200409326216896E-2</v>
          </cell>
        </row>
        <row r="32">
          <cell r="A32" t="str">
            <v>Mercedes</v>
          </cell>
          <cell r="B32">
            <v>616594</v>
          </cell>
          <cell r="C32">
            <v>524719</v>
          </cell>
          <cell r="D32">
            <v>31747</v>
          </cell>
          <cell r="E32">
            <v>6.0502859625818702E-2</v>
          </cell>
        </row>
        <row r="33">
          <cell r="A33" t="str">
            <v>MG</v>
          </cell>
          <cell r="B33">
            <v>7389</v>
          </cell>
          <cell r="C33">
            <v>21970</v>
          </cell>
          <cell r="D33">
            <v>12972</v>
          </cell>
          <cell r="E33">
            <v>0.59044151115156995</v>
          </cell>
        </row>
        <row r="34">
          <cell r="A34" t="str">
            <v>Mini</v>
          </cell>
          <cell r="B34">
            <v>121858</v>
          </cell>
          <cell r="C34">
            <v>125666</v>
          </cell>
          <cell r="D34">
            <v>22633</v>
          </cell>
          <cell r="E34">
            <v>0.18010440373688899</v>
          </cell>
        </row>
        <row r="35">
          <cell r="A35" t="str">
            <v>Mitsubishi</v>
          </cell>
          <cell r="B35">
            <v>90179</v>
          </cell>
          <cell r="C35">
            <v>65619</v>
          </cell>
          <cell r="D35">
            <v>7</v>
          </cell>
          <cell r="E35">
            <v>1.06676419939346E-4</v>
          </cell>
        </row>
        <row r="36">
          <cell r="A36" t="str">
            <v>Nissan</v>
          </cell>
          <cell r="B36">
            <v>212342</v>
          </cell>
          <cell r="C36">
            <v>177202</v>
          </cell>
          <cell r="D36">
            <v>26878</v>
          </cell>
          <cell r="E36">
            <v>0.15168000361169701</v>
          </cell>
        </row>
        <row r="37">
          <cell r="A37" t="str">
            <v>Opel/Vauxhall</v>
          </cell>
          <cell r="B37">
            <v>388992</v>
          </cell>
          <cell r="C37">
            <v>392846</v>
          </cell>
          <cell r="D37">
            <v>33928</v>
          </cell>
          <cell r="E37">
            <v>8.6364631433182404E-2</v>
          </cell>
        </row>
        <row r="38">
          <cell r="A38" t="str">
            <v>Peugeot</v>
          </cell>
          <cell r="B38">
            <v>689473</v>
          </cell>
          <cell r="C38">
            <v>661487</v>
          </cell>
          <cell r="D38">
            <v>60642</v>
          </cell>
          <cell r="E38">
            <v>9.16752710181757E-2</v>
          </cell>
        </row>
        <row r="39">
          <cell r="A39" t="str">
            <v>Polestar</v>
          </cell>
          <cell r="B39">
            <v>8971</v>
          </cell>
          <cell r="C39">
            <v>14288</v>
          </cell>
          <cell r="D39">
            <v>14228</v>
          </cell>
          <cell r="E39">
            <v>0.99580067189249699</v>
          </cell>
        </row>
        <row r="40">
          <cell r="A40" t="str">
            <v>Porsche</v>
          </cell>
          <cell r="B40">
            <v>55524</v>
          </cell>
          <cell r="C40">
            <v>60098</v>
          </cell>
          <cell r="D40">
            <v>12675</v>
          </cell>
          <cell r="E40">
            <v>0.21090552098239501</v>
          </cell>
        </row>
        <row r="41">
          <cell r="A41" t="str">
            <v>Ram</v>
          </cell>
          <cell r="B41">
            <v>6</v>
          </cell>
          <cell r="C41">
            <v>6</v>
          </cell>
          <cell r="D41">
            <v>0</v>
          </cell>
          <cell r="E41">
            <v>0</v>
          </cell>
        </row>
        <row r="42">
          <cell r="A42" t="str">
            <v>Renault</v>
          </cell>
          <cell r="B42">
            <v>759971</v>
          </cell>
          <cell r="C42">
            <v>637224</v>
          </cell>
          <cell r="D42">
            <v>89366</v>
          </cell>
          <cell r="E42">
            <v>0.14024267761415099</v>
          </cell>
        </row>
        <row r="43">
          <cell r="A43" t="str">
            <v>Renault Trucks</v>
          </cell>
          <cell r="B43" t="str">
            <v>NA</v>
          </cell>
          <cell r="C43">
            <v>3</v>
          </cell>
          <cell r="D43">
            <v>0</v>
          </cell>
          <cell r="E43">
            <v>0</v>
          </cell>
        </row>
        <row r="44">
          <cell r="A44" t="str">
            <v>SEAT</v>
          </cell>
          <cell r="B44">
            <v>303857</v>
          </cell>
          <cell r="C44">
            <v>276199</v>
          </cell>
          <cell r="D44">
            <v>8222</v>
          </cell>
          <cell r="E44">
            <v>2.9768391630671999E-2</v>
          </cell>
        </row>
        <row r="45">
          <cell r="A45" t="str">
            <v>Skoda</v>
          </cell>
          <cell r="B45">
            <v>562318</v>
          </cell>
          <cell r="C45">
            <v>511247</v>
          </cell>
          <cell r="D45">
            <v>43906</v>
          </cell>
          <cell r="E45">
            <v>8.58802105440227E-2</v>
          </cell>
        </row>
        <row r="46">
          <cell r="A46" t="str">
            <v>Smart</v>
          </cell>
          <cell r="B46">
            <v>25691</v>
          </cell>
          <cell r="C46">
            <v>35164</v>
          </cell>
          <cell r="D46">
            <v>35108</v>
          </cell>
          <cell r="E46">
            <v>0.99840746217722598</v>
          </cell>
        </row>
        <row r="47">
          <cell r="A47" t="str">
            <v>SsangYong</v>
          </cell>
          <cell r="B47">
            <v>8206</v>
          </cell>
          <cell r="C47">
            <v>9601</v>
          </cell>
          <cell r="D47">
            <v>18</v>
          </cell>
          <cell r="E47">
            <v>1.87480470784293E-3</v>
          </cell>
        </row>
        <row r="48">
          <cell r="A48" t="str">
            <v>Subaru</v>
          </cell>
          <cell r="B48">
            <v>16298</v>
          </cell>
          <cell r="C48">
            <v>17155</v>
          </cell>
          <cell r="D48">
            <v>0</v>
          </cell>
          <cell r="E48">
            <v>0</v>
          </cell>
        </row>
        <row r="49">
          <cell r="A49" t="str">
            <v>Suzuki</v>
          </cell>
          <cell r="B49">
            <v>147064</v>
          </cell>
          <cell r="C49">
            <v>170239</v>
          </cell>
          <cell r="D49">
            <v>0</v>
          </cell>
          <cell r="E49">
            <v>0</v>
          </cell>
        </row>
        <row r="50">
          <cell r="A50" t="str">
            <v>Tesla</v>
          </cell>
          <cell r="B50">
            <v>68658</v>
          </cell>
          <cell r="C50">
            <v>127912</v>
          </cell>
          <cell r="D50">
            <v>127912</v>
          </cell>
          <cell r="E50">
            <v>1</v>
          </cell>
        </row>
        <row r="51">
          <cell r="A51" t="str">
            <v>Toyota</v>
          </cell>
          <cell r="B51">
            <v>544798</v>
          </cell>
          <cell r="C51">
            <v>597301</v>
          </cell>
          <cell r="D51">
            <v>695</v>
          </cell>
          <cell r="E51">
            <v>1.16356744756831E-3</v>
          </cell>
        </row>
        <row r="52">
          <cell r="A52" t="str">
            <v>Volvo</v>
          </cell>
          <cell r="B52">
            <v>232903</v>
          </cell>
          <cell r="C52">
            <v>233193</v>
          </cell>
          <cell r="D52">
            <v>13673</v>
          </cell>
          <cell r="E52">
            <v>5.8633835492489003E-2</v>
          </cell>
        </row>
        <row r="53">
          <cell r="A53" t="str">
            <v>VW</v>
          </cell>
          <cell r="B53">
            <v>1169459</v>
          </cell>
          <cell r="C53">
            <v>1101291</v>
          </cell>
          <cell r="D53">
            <v>146232</v>
          </cell>
          <cell r="E53">
            <v>0.132782343631247</v>
          </cell>
        </row>
        <row r="54">
          <cell r="A54" t="str">
            <v>NA</v>
          </cell>
          <cell r="B54">
            <v>23240</v>
          </cell>
          <cell r="C54">
            <v>43729</v>
          </cell>
          <cell r="D54">
            <v>4372</v>
          </cell>
          <cell r="E54">
            <v>9.9979418692400901E-2</v>
          </cell>
        </row>
      </sheetData>
      <sheetData sheetId="3" refreshError="1"/>
      <sheetData sheetId="4" refreshError="1"/>
      <sheetData sheetId="5" refreshError="1"/>
    </sheetDataSet>
  </externalBook>
</externalLink>
</file>

<file path=xl/theme/theme1.xml><?xml version="1.0" encoding="utf-8"?>
<a:theme xmlns:a="http://schemas.openxmlformats.org/drawingml/2006/main" name="ICCT">
  <a:themeElements>
    <a:clrScheme name="ICCT">
      <a:dk1>
        <a:srgbClr val="000000"/>
      </a:dk1>
      <a:lt1>
        <a:srgbClr val="FFFFFF"/>
      </a:lt1>
      <a:dk2>
        <a:srgbClr val="45555F"/>
      </a:dk2>
      <a:lt2>
        <a:srgbClr val="DED5B3"/>
      </a:lt2>
      <a:accent1>
        <a:srgbClr val="4E3227"/>
      </a:accent1>
      <a:accent2>
        <a:srgbClr val="007A94"/>
      </a:accent2>
      <a:accent3>
        <a:srgbClr val="D6492A"/>
      </a:accent3>
      <a:accent4>
        <a:srgbClr val="642566"/>
      </a:accent4>
      <a:accent5>
        <a:srgbClr val="6C953C"/>
      </a:accent5>
      <a:accent6>
        <a:srgbClr val="F4AF00"/>
      </a:accent6>
      <a:hlink>
        <a:srgbClr val="007A94"/>
      </a:hlink>
      <a:folHlink>
        <a:srgbClr val="6C953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2" Type="http://schemas.openxmlformats.org/officeDocument/2006/relationships/hyperlink" Target="https://www.hyundai.com/content/hyundai/ww/data/ir/calendar/2022/0000000352/files/2022-ceo-investor-day-eng-220620.pdf" TargetMode="External"/><Relationship Id="rId1" Type="http://schemas.openxmlformats.org/officeDocument/2006/relationships/hyperlink" Target="https://www.reuters.com/article/us-bmw-results/bmw-expects-at-least-half-of-sales-to-be-electric-cars-by-2030-idUSKBN2B90S7"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bmwgroup.com/content/dam/grpw/websites/bmwgroup_com/company/downloads/en/2022/Remuneration-Report-for-the-Board-of-Management-and-the-Supervisory-Board-2021.pdf" TargetMode="External"/><Relationship Id="rId13" Type="http://schemas.openxmlformats.org/officeDocument/2006/relationships/hyperlink" Target="https://www.globalsuzuki.com/ir/library/governance/pdf/report.pdf" TargetMode="External"/><Relationship Id="rId18" Type="http://schemas.openxmlformats.org/officeDocument/2006/relationships/hyperlink" Target="https://investors.volvocars.com/~/media/Files/V/Volvo-Cars-IR-V2/documents/AGM2022/AGM%20ENG/Remuneration%20Report.pdf" TargetMode="External"/><Relationship Id="rId3" Type="http://schemas.openxmlformats.org/officeDocument/2006/relationships/hyperlink" Target="https://www.tatamotors.com/wp-content/uploads/2022/06/annual-report-2021-22.pdf" TargetMode="External"/><Relationship Id="rId7" Type="http://schemas.openxmlformats.org/officeDocument/2006/relationships/hyperlink" Target="https://www.sec.gov/ix?doc=/Archives/edgar/data/1094517/000119312522179197/d696693d20f.htm" TargetMode="External"/><Relationship Id="rId12" Type="http://schemas.openxmlformats.org/officeDocument/2006/relationships/hyperlink" Target="https://global.honda/content/dam/site/global/investors/cq_img/library/form_20-f/FY202203_form20f_e.pdf" TargetMode="External"/><Relationship Id="rId17" Type="http://schemas.openxmlformats.org/officeDocument/2006/relationships/hyperlink" Target="https://worldwide.kia.com/int/company/sustainability/sustainability-report" TargetMode="External"/><Relationship Id="rId2" Type="http://schemas.openxmlformats.org/officeDocument/2006/relationships/hyperlink" Target="https://www.renaultgroup.com/wp-content/uploads/2022/03/18-february-2022-2021-and-2022-compensation-of-corporate-officers.pdf" TargetMode="External"/><Relationship Id="rId16" Type="http://schemas.openxmlformats.org/officeDocument/2006/relationships/hyperlink" Target="https://www.volkswagenag.com/presence/investorrelation/publications/annual-media-conference/2023/Verg%C3%BCtungsbericht%202022_e.pdf" TargetMode="External"/><Relationship Id="rId1" Type="http://schemas.openxmlformats.org/officeDocument/2006/relationships/hyperlink" Target="https://www.sec.gov/ix?doc=/Archives/edgar/data/1605484/000160548423000020/stellantis-20221231.htm" TargetMode="External"/><Relationship Id="rId6" Type="http://schemas.openxmlformats.org/officeDocument/2006/relationships/hyperlink" Target="https://www.volkswagenag.com/presence/investorrelation/publications/annual-media-conference/2022/Verg%C3%BCtungsbericht%202021_en.pdf" TargetMode="External"/><Relationship Id="rId11" Type="http://schemas.openxmlformats.org/officeDocument/2006/relationships/hyperlink" Target="https://www.mazda.com/globalassets/en/assets/investors/library/governance/files/cg220628_e.pdf" TargetMode="External"/><Relationship Id="rId5" Type="http://schemas.openxmlformats.org/officeDocument/2006/relationships/hyperlink" Target="https://www.nissan-global.com/EN/IR/LIBRARY/FR/2021/ASSETS/PDF/fr2021.pdf" TargetMode="External"/><Relationship Id="rId15" Type="http://schemas.openxmlformats.org/officeDocument/2006/relationships/hyperlink" Target="https://www.bydglobal.com/sitesresources/common/tools/generic/web/viewer.html?file=%2Fsites%2FSatellite%2FBYD%20PDF%20Viewer%3Fblobcol%3Durldata%26blobheader%3Dapplication%252Fpdf%26blobkey%3Did%26blobtable%3DMungoBlobs%26blobwhere%3D1600575229843%26ssbinary%3Dtrue" TargetMode="External"/><Relationship Id="rId10" Type="http://schemas.openxmlformats.org/officeDocument/2006/relationships/hyperlink" Target="https://www.sec.gov/Archives/edgar/data/37996/000110465922041499/tm2130881-4_def14a.htm" TargetMode="External"/><Relationship Id="rId4" Type="http://schemas.openxmlformats.org/officeDocument/2006/relationships/hyperlink" Target="https://www.sec.gov/Archives/edgar/data/1467858/000119312522131642/d215687ddef14a.htm" TargetMode="External"/><Relationship Id="rId9" Type="http://schemas.openxmlformats.org/officeDocument/2006/relationships/hyperlink" Target="https://group.mercedes-benz.com/documents/investors/reports/annual-report/mercedes-benz/mercedes-benz-remuneration-report-2022.pdf" TargetMode="External"/><Relationship Id="rId14" Type="http://schemas.openxmlformats.org/officeDocument/2006/relationships/hyperlink" Target="https://www.sec.gov/Archives/edgar/data/1318605/000156459022024064/tsla-def14a_20220804.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89088-2158-8440-A472-F9BD2290F9EE}">
  <dimension ref="B1:D16"/>
  <sheetViews>
    <sheetView workbookViewId="0">
      <selection activeCell="C13" sqref="C13"/>
    </sheetView>
  </sheetViews>
  <sheetFormatPr baseColWidth="10" defaultColWidth="11" defaultRowHeight="16"/>
  <cols>
    <col min="1" max="1" width="2.33203125" customWidth="1"/>
    <col min="2" max="2" width="24.33203125" customWidth="1"/>
    <col min="3" max="3" width="91.83203125" customWidth="1"/>
    <col min="4" max="4" width="88.5" customWidth="1"/>
  </cols>
  <sheetData>
    <row r="1" spans="2:4" ht="12" customHeight="1"/>
    <row r="2" spans="2:4" ht="38" customHeight="1">
      <c r="B2" s="348" t="s">
        <v>426</v>
      </c>
      <c r="C2" s="348"/>
    </row>
    <row r="3" spans="2:4" ht="21" customHeight="1">
      <c r="B3" s="224"/>
      <c r="C3" s="224"/>
    </row>
    <row r="4" spans="2:4">
      <c r="B4" s="3" t="s">
        <v>0</v>
      </c>
      <c r="C4" s="3" t="s">
        <v>1</v>
      </c>
      <c r="D4" s="3" t="s">
        <v>474</v>
      </c>
    </row>
    <row r="5" spans="2:4" ht="53" customHeight="1">
      <c r="B5" s="292" t="s">
        <v>2</v>
      </c>
      <c r="C5" s="292" t="s">
        <v>482</v>
      </c>
      <c r="D5" s="292"/>
    </row>
    <row r="6" spans="2:4" ht="53" customHeight="1">
      <c r="B6" s="292" t="s">
        <v>3</v>
      </c>
      <c r="C6" s="292" t="s">
        <v>483</v>
      </c>
      <c r="D6" s="349" t="s">
        <v>476</v>
      </c>
    </row>
    <row r="7" spans="2:4" ht="53" customHeight="1">
      <c r="B7" s="292" t="s">
        <v>486</v>
      </c>
      <c r="C7" s="292" t="s">
        <v>485</v>
      </c>
      <c r="D7" s="349"/>
    </row>
    <row r="8" spans="2:4" ht="53" customHeight="1">
      <c r="B8" s="292" t="s">
        <v>69</v>
      </c>
      <c r="C8" s="292" t="s">
        <v>484</v>
      </c>
      <c r="D8" s="349"/>
    </row>
    <row r="9" spans="2:4" ht="53" customHeight="1">
      <c r="B9" s="292" t="s">
        <v>475</v>
      </c>
      <c r="C9" s="292" t="s">
        <v>479</v>
      </c>
      <c r="D9" s="349"/>
    </row>
    <row r="10" spans="2:4" ht="53" customHeight="1">
      <c r="B10" s="292" t="s">
        <v>23</v>
      </c>
      <c r="C10" s="292" t="s">
        <v>478</v>
      </c>
      <c r="D10" s="349"/>
    </row>
    <row r="11" spans="2:4" ht="53" customHeight="1">
      <c r="B11" s="292" t="s">
        <v>24</v>
      </c>
      <c r="C11" s="292" t="s">
        <v>477</v>
      </c>
      <c r="D11" s="349"/>
    </row>
    <row r="12" spans="2:4" ht="53" customHeight="1">
      <c r="B12" s="292" t="s">
        <v>4</v>
      </c>
      <c r="C12" s="292" t="s">
        <v>487</v>
      </c>
      <c r="D12" s="349" t="s">
        <v>481</v>
      </c>
    </row>
    <row r="13" spans="2:4" ht="53" customHeight="1">
      <c r="B13" s="292" t="s">
        <v>517</v>
      </c>
      <c r="C13" s="292" t="s">
        <v>6</v>
      </c>
      <c r="D13" s="349"/>
    </row>
    <row r="14" spans="2:4" ht="53" customHeight="1">
      <c r="B14" s="292" t="s">
        <v>7</v>
      </c>
      <c r="C14" s="292" t="s">
        <v>488</v>
      </c>
      <c r="D14" s="349"/>
    </row>
    <row r="15" spans="2:4" ht="53" customHeight="1">
      <c r="B15" s="292" t="s">
        <v>28</v>
      </c>
      <c r="C15" s="292" t="s">
        <v>519</v>
      </c>
      <c r="D15" s="349"/>
    </row>
    <row r="16" spans="2:4" ht="53" customHeight="1">
      <c r="B16" s="292" t="s">
        <v>518</v>
      </c>
      <c r="C16" s="292" t="s">
        <v>489</v>
      </c>
      <c r="D16" s="349"/>
    </row>
  </sheetData>
  <sheetProtection algorithmName="SHA-512" hashValue="LGH0GsiBOQreSboi7LhCbmoUVzK10r5+nchhUbz94RogEjm21F+jZGERjwoKfpeiobkELgdM77m5KF8CpOlmwQ==" saltValue="oCVTaW9dceP0YjP0cTEavw==" spinCount="100000" sheet="1" objects="1" scenarios="1" selectLockedCells="1" selectUnlockedCells="1"/>
  <mergeCells count="3">
    <mergeCell ref="B2:C2"/>
    <mergeCell ref="D12:D16"/>
    <mergeCell ref="D6:D11"/>
  </mergeCells>
  <phoneticPr fontId="3"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CCDE5-9C3A-3342-870A-9FFE01164197}">
  <sheetPr>
    <tabColor theme="6" tint="0.79998168889431442"/>
  </sheetPr>
  <dimension ref="B1:M65"/>
  <sheetViews>
    <sheetView zoomScaleNormal="100" workbookViewId="0">
      <selection activeCell="C3" sqref="C3"/>
    </sheetView>
  </sheetViews>
  <sheetFormatPr baseColWidth="10" defaultColWidth="11" defaultRowHeight="16"/>
  <cols>
    <col min="1" max="1" width="3.33203125" style="18" customWidth="1"/>
    <col min="2" max="2" width="17.5" style="18" customWidth="1"/>
    <col min="3" max="3" width="151.5" style="207" customWidth="1"/>
    <col min="4" max="4" width="11" style="14"/>
    <col min="5" max="5" width="12.33203125" style="14" customWidth="1"/>
    <col min="6" max="9" width="11" style="14"/>
    <col min="10" max="10" width="12.5" style="211" bestFit="1" customWidth="1"/>
    <col min="11" max="11" width="14.83203125" style="327" bestFit="1" customWidth="1"/>
    <col min="12" max="16372" width="11" style="18"/>
    <col min="16373" max="16373" width="11" style="18" bestFit="1"/>
    <col min="16374" max="16384" width="11" style="18"/>
  </cols>
  <sheetData>
    <row r="1" spans="2:13" ht="12" customHeight="1"/>
    <row r="2" spans="2:13" s="48" customFormat="1" ht="69" customHeight="1">
      <c r="B2" s="33" t="s">
        <v>76</v>
      </c>
      <c r="C2" s="28" t="s">
        <v>424</v>
      </c>
      <c r="D2" s="33" t="s">
        <v>77</v>
      </c>
      <c r="E2" s="33" t="s">
        <v>95</v>
      </c>
      <c r="F2" s="33" t="s">
        <v>211</v>
      </c>
      <c r="G2" s="33" t="s">
        <v>80</v>
      </c>
      <c r="H2" s="33" t="s">
        <v>81</v>
      </c>
      <c r="I2" s="33" t="s">
        <v>82</v>
      </c>
      <c r="J2" s="213" t="s">
        <v>213</v>
      </c>
      <c r="K2" s="328" t="s">
        <v>210</v>
      </c>
    </row>
    <row r="3" spans="2:13" ht="214" customHeight="1">
      <c r="B3" s="19" t="s">
        <v>49</v>
      </c>
      <c r="C3" s="67" t="s">
        <v>462</v>
      </c>
      <c r="D3" s="31">
        <v>1</v>
      </c>
      <c r="E3" s="31">
        <v>1</v>
      </c>
      <c r="F3" s="31">
        <v>1</v>
      </c>
      <c r="G3" s="31">
        <v>1</v>
      </c>
      <c r="H3" s="31">
        <v>1</v>
      </c>
      <c r="I3" s="31">
        <v>1</v>
      </c>
      <c r="J3" s="44">
        <f>SUMPRODUCT(D3:I3,_xlfn.XLOOKUP(B3,'Global sales'!$C$28:$C$53,'Global sales'!$D$28:$I$53))/_xlfn.XLOOKUP(B3,'Global sales'!$C$28:$C$53,'Global sales'!$J$28:$J$53)</f>
        <v>1</v>
      </c>
      <c r="K3" s="329">
        <f>(J3-MIN($J$3:$J$29))/(MAX($J$3:$J$29)-MIN($J$3:$J$29))*100</f>
        <v>100</v>
      </c>
      <c r="M3" s="20"/>
    </row>
    <row r="4" spans="2:13" ht="409" customHeight="1">
      <c r="B4" s="19" t="s">
        <v>44</v>
      </c>
      <c r="C4" s="214" t="s">
        <v>531</v>
      </c>
      <c r="D4" s="31">
        <v>1</v>
      </c>
      <c r="E4" s="31">
        <v>1</v>
      </c>
      <c r="F4" s="31">
        <v>1</v>
      </c>
      <c r="G4" s="31">
        <v>1</v>
      </c>
      <c r="H4" s="31">
        <v>1</v>
      </c>
      <c r="I4" s="31">
        <v>1</v>
      </c>
      <c r="J4" s="44">
        <f>SUMPRODUCT(D4:I4,_xlfn.XLOOKUP(B4,'Global sales'!$C$28:$C$53,'Global sales'!$D$28:$I$53))/_xlfn.XLOOKUP(B4,'Global sales'!$C$28:$C$53,'Global sales'!$J$28:$J$53)</f>
        <v>1</v>
      </c>
      <c r="K4" s="329">
        <f t="shared" ref="K4:K28" si="0">(J4-MIN($J$3:$J$29))/(MAX($J$3:$J$29)-MIN($J$3:$J$29))*100</f>
        <v>100</v>
      </c>
      <c r="M4" s="20"/>
    </row>
    <row r="5" spans="2:13" ht="87" customHeight="1">
      <c r="B5" s="19" t="s">
        <v>17</v>
      </c>
      <c r="C5" s="67" t="s">
        <v>448</v>
      </c>
      <c r="D5" s="31">
        <v>1</v>
      </c>
      <c r="E5" s="31">
        <v>1</v>
      </c>
      <c r="F5" s="31">
        <v>1</v>
      </c>
      <c r="G5" s="31"/>
      <c r="H5" s="31"/>
      <c r="I5" s="31"/>
      <c r="J5" s="44">
        <f>SUMPRODUCT(D5:I5,_xlfn.XLOOKUP(B5,'Global sales'!$C$28:$C$53,'Global sales'!$D$28:$I$53))/_xlfn.XLOOKUP(B5,'Global sales'!$C$28:$C$53,'Global sales'!$J$28:$J$53)</f>
        <v>1</v>
      </c>
      <c r="K5" s="329">
        <f t="shared" si="0"/>
        <v>100</v>
      </c>
      <c r="M5" s="20"/>
    </row>
    <row r="6" spans="2:13" ht="161" customHeight="1">
      <c r="B6" s="19" t="s">
        <v>16</v>
      </c>
      <c r="C6" s="67" t="s">
        <v>369</v>
      </c>
      <c r="D6" s="31">
        <v>1</v>
      </c>
      <c r="E6" s="31"/>
      <c r="F6" s="31"/>
      <c r="G6" s="31"/>
      <c r="H6" s="31"/>
      <c r="I6" s="31"/>
      <c r="J6" s="44">
        <f>SUMPRODUCT(D6:I6,_xlfn.XLOOKUP(B6,'Global sales'!$C$28:$C$53,'Global sales'!$D$28:$I$53))/_xlfn.XLOOKUP(B6,'Global sales'!$C$28:$C$53,'Global sales'!$J$28:$J$53)</f>
        <v>0.99945777064365815</v>
      </c>
      <c r="K6" s="329">
        <f t="shared" si="0"/>
        <v>99.945777064365814</v>
      </c>
      <c r="M6" s="20"/>
    </row>
    <row r="7" spans="2:13" ht="42" customHeight="1">
      <c r="B7" s="19" t="s">
        <v>58</v>
      </c>
      <c r="C7" s="67" t="s">
        <v>449</v>
      </c>
      <c r="D7" s="31">
        <v>1</v>
      </c>
      <c r="E7" s="31"/>
      <c r="F7" s="31"/>
      <c r="G7" s="31"/>
      <c r="H7" s="31"/>
      <c r="I7" s="31"/>
      <c r="J7" s="44">
        <f>SUMPRODUCT(D7:I7,_xlfn.XLOOKUP(B7,'Global sales'!$C$28:$C$53,'Global sales'!$D$28:$I$53))/_xlfn.XLOOKUP(B7,'Global sales'!$C$28:$C$53,'Global sales'!$J$28:$J$53)</f>
        <v>0.99911653517422749</v>
      </c>
      <c r="K7" s="329">
        <f t="shared" si="0"/>
        <v>99.911653517422749</v>
      </c>
      <c r="M7" s="20"/>
    </row>
    <row r="8" spans="2:13" ht="324" customHeight="1">
      <c r="B8" s="19" t="s">
        <v>52</v>
      </c>
      <c r="C8" s="67" t="s">
        <v>447</v>
      </c>
      <c r="D8" s="31">
        <v>1</v>
      </c>
      <c r="E8" s="31"/>
      <c r="F8" s="31">
        <v>1</v>
      </c>
      <c r="G8" s="31"/>
      <c r="H8" s="31"/>
      <c r="I8" s="31"/>
      <c r="J8" s="44">
        <f>SUMPRODUCT(D8:I8,_xlfn.XLOOKUP(B8,'Global sales'!$C$28:$C$53,'Global sales'!$D$28:$I$53))/_xlfn.XLOOKUP(B8,'Global sales'!$C$28:$C$53,'Global sales'!$J$28:$J$53)</f>
        <v>0.98606469373147654</v>
      </c>
      <c r="K8" s="329">
        <f t="shared" si="0"/>
        <v>98.606469373147661</v>
      </c>
      <c r="M8" s="20"/>
    </row>
    <row r="9" spans="2:13" ht="177" customHeight="1">
      <c r="B9" s="19" t="s">
        <v>48</v>
      </c>
      <c r="C9" s="67" t="s">
        <v>450</v>
      </c>
      <c r="D9" s="31">
        <v>1</v>
      </c>
      <c r="E9" s="31">
        <v>1</v>
      </c>
      <c r="F9" s="31">
        <v>1</v>
      </c>
      <c r="G9" s="31"/>
      <c r="H9" s="31"/>
      <c r="I9" s="31"/>
      <c r="J9" s="44">
        <f>SUMPRODUCT(D9:I9,_xlfn.XLOOKUP(B9,'Global sales'!$C$28:$C$53,'Global sales'!$D$28:$I$53))/_xlfn.XLOOKUP(B9,'Global sales'!$C$28:$C$53,'Global sales'!$J$28:$J$53)</f>
        <v>0.98465947598226566</v>
      </c>
      <c r="K9" s="329">
        <f t="shared" si="0"/>
        <v>98.465947598226563</v>
      </c>
      <c r="M9" s="20"/>
    </row>
    <row r="10" spans="2:13" ht="219" customHeight="1">
      <c r="B10" s="19" t="s">
        <v>43</v>
      </c>
      <c r="C10" s="67" t="s">
        <v>368</v>
      </c>
      <c r="D10" s="31">
        <v>1</v>
      </c>
      <c r="E10" s="31">
        <v>1</v>
      </c>
      <c r="F10" s="31">
        <v>1</v>
      </c>
      <c r="G10" s="31"/>
      <c r="H10" s="31"/>
      <c r="I10" s="31"/>
      <c r="J10" s="44">
        <f>SUMPRODUCT(D10:I10,_xlfn.XLOOKUP(B10,'Global sales'!$C$28:$C$53,'Global sales'!$D$28:$I$53))/_xlfn.XLOOKUP(B10,'Global sales'!$C$28:$C$53,'Global sales'!$J$28:$J$53)</f>
        <v>0.92311063424659601</v>
      </c>
      <c r="K10" s="329">
        <f t="shared" si="0"/>
        <v>92.311063424659608</v>
      </c>
      <c r="M10" s="20"/>
    </row>
    <row r="11" spans="2:13" ht="96" customHeight="1">
      <c r="B11" s="19" t="s">
        <v>54</v>
      </c>
      <c r="C11" s="244" t="s">
        <v>366</v>
      </c>
      <c r="D11" s="31"/>
      <c r="E11" s="31">
        <v>1</v>
      </c>
      <c r="F11" s="31">
        <v>1</v>
      </c>
      <c r="G11" s="31"/>
      <c r="H11" s="31"/>
      <c r="I11" s="31"/>
      <c r="J11" s="44">
        <f>SUMPRODUCT(D11:I11,_xlfn.XLOOKUP(B11,'Global sales'!$C$28:$C$53,'Global sales'!$D$28:$I$53))/_xlfn.XLOOKUP(B11,'Global sales'!$C$28:$C$53,'Global sales'!$J$28:$J$53)</f>
        <v>0.91069073179953419</v>
      </c>
      <c r="K11" s="329">
        <f t="shared" si="0"/>
        <v>91.069073179953421</v>
      </c>
      <c r="M11" s="20"/>
    </row>
    <row r="12" spans="2:13" ht="84" customHeight="1">
      <c r="B12" s="19" t="s">
        <v>46</v>
      </c>
      <c r="C12" s="67" t="s">
        <v>451</v>
      </c>
      <c r="D12" s="31"/>
      <c r="E12" s="31">
        <v>1</v>
      </c>
      <c r="F12" s="31"/>
      <c r="G12" s="31"/>
      <c r="H12" s="31"/>
      <c r="I12" s="31"/>
      <c r="J12" s="44">
        <f>SUMPRODUCT(D12:I12,_xlfn.XLOOKUP(B12,'Global sales'!$C$28:$C$53,'Global sales'!$D$28:$I$53))/_xlfn.XLOOKUP(B12,'Global sales'!$C$28:$C$53,'Global sales'!$J$28:$J$53)</f>
        <v>0.89601710199048012</v>
      </c>
      <c r="K12" s="329">
        <f t="shared" si="0"/>
        <v>89.601710199048014</v>
      </c>
      <c r="M12" s="20"/>
    </row>
    <row r="13" spans="2:13" ht="188" customHeight="1">
      <c r="B13" s="19" t="s">
        <v>45</v>
      </c>
      <c r="C13" s="67" t="s">
        <v>452</v>
      </c>
      <c r="D13" s="31">
        <v>1</v>
      </c>
      <c r="E13" s="31"/>
      <c r="F13" s="31"/>
      <c r="G13" s="31"/>
      <c r="H13" s="31"/>
      <c r="I13" s="31"/>
      <c r="J13" s="44">
        <f>SUMPRODUCT(D13:I13,_xlfn.XLOOKUP(B13,'Global sales'!$C$28:$C$53,'Global sales'!$D$28:$I$53))/_xlfn.XLOOKUP(B13,'Global sales'!$C$28:$C$53,'Global sales'!$J$28:$J$53)</f>
        <v>0.90425356522170763</v>
      </c>
      <c r="K13" s="329">
        <f t="shared" si="0"/>
        <v>90.425356522170759</v>
      </c>
      <c r="M13" s="20"/>
    </row>
    <row r="14" spans="2:13" ht="192" customHeight="1">
      <c r="B14" s="19" t="s">
        <v>59</v>
      </c>
      <c r="C14" s="214" t="s">
        <v>532</v>
      </c>
      <c r="D14" s="31"/>
      <c r="E14" s="31">
        <v>1</v>
      </c>
      <c r="F14" s="31"/>
      <c r="G14" s="31"/>
      <c r="H14" s="31">
        <v>1</v>
      </c>
      <c r="I14" s="31"/>
      <c r="J14" s="44">
        <f>SUMPRODUCT(D14:I14,_xlfn.XLOOKUP(B14,'Global sales'!$C$28:$C$53,'Global sales'!$D$28:$I$53))/_xlfn.XLOOKUP(B14,'Global sales'!$C$28:$C$53,'Global sales'!$J$28:$J$53)</f>
        <v>0.8741234302072054</v>
      </c>
      <c r="K14" s="330">
        <f t="shared" si="0"/>
        <v>87.412343020720542</v>
      </c>
      <c r="M14" s="20"/>
    </row>
    <row r="15" spans="2:13" ht="224" customHeight="1">
      <c r="B15" s="19" t="s">
        <v>214</v>
      </c>
      <c r="C15" s="244" t="s">
        <v>453</v>
      </c>
      <c r="D15" s="31"/>
      <c r="E15" s="31"/>
      <c r="F15" s="31">
        <v>1</v>
      </c>
      <c r="G15" s="31">
        <v>1</v>
      </c>
      <c r="H15" s="31"/>
      <c r="I15" s="31"/>
      <c r="J15" s="44">
        <f>SUMPRODUCT(D15:I15,_xlfn.XLOOKUP(B15,'Global sales'!$C$28:$C$53,'Global sales'!$D$28:$I$53))/_xlfn.XLOOKUP(B15,'Global sales'!$C$28:$C$53,'Global sales'!$J$28:$J$53)</f>
        <v>0.58541560309512974</v>
      </c>
      <c r="K15" s="330">
        <f t="shared" si="0"/>
        <v>58.541560309512974</v>
      </c>
      <c r="M15" s="20"/>
    </row>
    <row r="16" spans="2:13" ht="62" customHeight="1">
      <c r="B16" s="19" t="s">
        <v>41</v>
      </c>
      <c r="C16" s="67" t="s">
        <v>454</v>
      </c>
      <c r="D16" s="31"/>
      <c r="E16" s="31">
        <v>1</v>
      </c>
      <c r="F16" s="31"/>
      <c r="G16" s="31"/>
      <c r="H16" s="31"/>
      <c r="I16" s="31"/>
      <c r="J16" s="44">
        <f>SUMPRODUCT(D16:I16,_xlfn.XLOOKUP(B16,'Global sales'!$C$28:$C$53,'Global sales'!$D$28:$I$53))/_xlfn.XLOOKUP(B16,'Global sales'!$C$28:$C$53,'Global sales'!$J$28:$J$53)</f>
        <v>0.49006266040558266</v>
      </c>
      <c r="K16" s="330">
        <f t="shared" si="0"/>
        <v>49.006266040558266</v>
      </c>
      <c r="M16" s="20"/>
    </row>
    <row r="17" spans="2:13" ht="148" customHeight="1">
      <c r="B17" s="19" t="s">
        <v>50</v>
      </c>
      <c r="C17" s="67" t="s">
        <v>455</v>
      </c>
      <c r="D17" s="31"/>
      <c r="E17" s="31">
        <v>1</v>
      </c>
      <c r="F17" s="31"/>
      <c r="G17" s="31"/>
      <c r="H17" s="31"/>
      <c r="I17" s="31"/>
      <c r="J17" s="44">
        <f>SUMPRODUCT(D17:I17,_xlfn.XLOOKUP(B17,'Global sales'!$C$28:$C$53,'Global sales'!$D$28:$I$53))/_xlfn.XLOOKUP(B17,'Global sales'!$C$28:$C$53,'Global sales'!$J$28:$J$53)</f>
        <v>0.43421235256903762</v>
      </c>
      <c r="K17" s="330">
        <f t="shared" si="0"/>
        <v>43.421235256903763</v>
      </c>
      <c r="M17" s="20"/>
    </row>
    <row r="18" spans="2:13" ht="64" customHeight="1">
      <c r="B18" s="19" t="s">
        <v>51</v>
      </c>
      <c r="C18" s="67" t="s">
        <v>516</v>
      </c>
      <c r="D18" s="31"/>
      <c r="E18" s="31"/>
      <c r="F18" s="31">
        <v>1</v>
      </c>
      <c r="G18" s="31"/>
      <c r="H18" s="31"/>
      <c r="I18" s="31"/>
      <c r="J18" s="44">
        <f>SUMPRODUCT(D18:I18,_xlfn.XLOOKUP(B18,'Global sales'!$C$28:$C$53,'Global sales'!$D$28:$I$53))/_xlfn.XLOOKUP(B18,'Global sales'!$C$28:$C$53,'Global sales'!$J$28:$J$53)</f>
        <v>0.32261754298721051</v>
      </c>
      <c r="K18" s="330">
        <f t="shared" si="0"/>
        <v>32.261754298721051</v>
      </c>
      <c r="M18" s="20"/>
    </row>
    <row r="19" spans="2:13" ht="134" customHeight="1">
      <c r="B19" s="19" t="s">
        <v>55</v>
      </c>
      <c r="C19" s="214" t="s">
        <v>533</v>
      </c>
      <c r="D19" s="31"/>
      <c r="E19" s="31">
        <v>1</v>
      </c>
      <c r="F19" s="31"/>
      <c r="G19" s="31">
        <v>1</v>
      </c>
      <c r="H19" s="31"/>
      <c r="I19" s="31"/>
      <c r="J19" s="44">
        <f>SUMPRODUCT(D19:I19,_xlfn.XLOOKUP(B19,'Global sales'!$C$28:$C$53,'Global sales'!$D$28:$I$53))/_xlfn.XLOOKUP(B19,'Global sales'!$C$28:$C$53,'Global sales'!$J$28:$J$53)</f>
        <v>0.3094481193648656</v>
      </c>
      <c r="K19" s="330">
        <f t="shared" si="0"/>
        <v>30.944811936486559</v>
      </c>
      <c r="M19" s="20"/>
    </row>
    <row r="20" spans="2:13" ht="56" customHeight="1">
      <c r="B20" s="19" t="s">
        <v>53</v>
      </c>
      <c r="C20" s="67" t="s">
        <v>367</v>
      </c>
      <c r="D20" s="31"/>
      <c r="E20" s="31"/>
      <c r="F20" s="31"/>
      <c r="G20" s="31"/>
      <c r="H20" s="31"/>
      <c r="I20" s="31"/>
      <c r="J20" s="44">
        <f>SUMPRODUCT(D20:I20,_xlfn.XLOOKUP(B20,'Global sales'!$C$28:$C$53,'Global sales'!$D$28:$I$53))/_xlfn.XLOOKUP(B20,'Global sales'!$C$28:$C$53,'Global sales'!$J$28:$J$53)</f>
        <v>0</v>
      </c>
      <c r="K20" s="331">
        <f t="shared" si="0"/>
        <v>0</v>
      </c>
      <c r="M20" s="20"/>
    </row>
    <row r="21" spans="2:13" ht="56" customHeight="1">
      <c r="B21" s="19" t="s">
        <v>63</v>
      </c>
      <c r="C21" s="67" t="s">
        <v>367</v>
      </c>
      <c r="D21" s="31"/>
      <c r="E21" s="31"/>
      <c r="F21" s="31"/>
      <c r="G21" s="31"/>
      <c r="H21" s="31"/>
      <c r="I21" s="31"/>
      <c r="J21" s="44">
        <f>SUMPRODUCT(D21:I21,_xlfn.XLOOKUP(B21,'Global sales'!$C$28:$C$53,'Global sales'!$D$28:$I$53))/_xlfn.XLOOKUP(B21,'Global sales'!$C$28:$C$53,'Global sales'!$J$28:$J$53)</f>
        <v>0</v>
      </c>
      <c r="K21" s="331">
        <f t="shared" si="0"/>
        <v>0</v>
      </c>
      <c r="M21" s="20"/>
    </row>
    <row r="22" spans="2:13" ht="150" customHeight="1">
      <c r="B22" s="19" t="s">
        <v>57</v>
      </c>
      <c r="C22" s="244" t="s">
        <v>456</v>
      </c>
      <c r="D22" s="31"/>
      <c r="E22" s="31"/>
      <c r="F22" s="31"/>
      <c r="G22" s="31"/>
      <c r="H22" s="31"/>
      <c r="I22" s="31"/>
      <c r="J22" s="44">
        <f>SUMPRODUCT(D22:I22,_xlfn.XLOOKUP(B22,'Global sales'!$C$28:$C$53,'Global sales'!$D$28:$I$53))/_xlfn.XLOOKUP(B22,'Global sales'!$C$28:$C$53,'Global sales'!$J$28:$J$53)</f>
        <v>0</v>
      </c>
      <c r="K22" s="331">
        <f t="shared" si="0"/>
        <v>0</v>
      </c>
      <c r="M22" s="20"/>
    </row>
    <row r="23" spans="2:13" ht="205" customHeight="1">
      <c r="B23" s="19" t="s">
        <v>207</v>
      </c>
      <c r="C23" s="67" t="s">
        <v>457</v>
      </c>
      <c r="D23" s="31">
        <v>1</v>
      </c>
      <c r="E23" s="31">
        <v>1</v>
      </c>
      <c r="F23" s="31">
        <v>1</v>
      </c>
      <c r="G23" s="31">
        <v>1</v>
      </c>
      <c r="H23" s="31">
        <v>1</v>
      </c>
      <c r="I23" s="31">
        <v>1</v>
      </c>
      <c r="J23" s="44">
        <f>SUMPRODUCT(D23:I23,_xlfn.XLOOKUP(B23,'Global sales'!$C$28:$C$53,'Global sales'!$D$28:$I$53))/_xlfn.XLOOKUP(B23,'Global sales'!$C$28:$C$53,'Global sales'!$J$28:$J$53)</f>
        <v>1</v>
      </c>
      <c r="K23" s="331">
        <f t="shared" si="0"/>
        <v>100</v>
      </c>
      <c r="M23" s="20"/>
    </row>
    <row r="24" spans="2:13" ht="191" customHeight="1">
      <c r="B24" s="19" t="s">
        <v>203</v>
      </c>
      <c r="C24" s="67" t="s">
        <v>458</v>
      </c>
      <c r="D24" s="31">
        <v>1</v>
      </c>
      <c r="E24" s="31">
        <v>1</v>
      </c>
      <c r="F24" s="31">
        <v>1</v>
      </c>
      <c r="G24" s="31">
        <v>1</v>
      </c>
      <c r="H24" s="31">
        <v>1</v>
      </c>
      <c r="I24" s="31">
        <v>1</v>
      </c>
      <c r="J24" s="44">
        <f>SUMPRODUCT(D24:I24,_xlfn.XLOOKUP(B24,'Global sales'!$C$28:$C$53,'Global sales'!$D$28:$I$53))/_xlfn.XLOOKUP(B24,'Global sales'!$C$28:$C$53,'Global sales'!$J$28:$J$53)</f>
        <v>1</v>
      </c>
      <c r="K24" s="331">
        <f t="shared" si="0"/>
        <v>100</v>
      </c>
      <c r="M24" s="20"/>
    </row>
    <row r="25" spans="2:13" ht="120" customHeight="1">
      <c r="B25" s="19" t="s">
        <v>205</v>
      </c>
      <c r="C25" s="67" t="s">
        <v>459</v>
      </c>
      <c r="D25" s="31">
        <v>1</v>
      </c>
      <c r="E25" s="31"/>
      <c r="F25" s="31"/>
      <c r="G25" s="31"/>
      <c r="H25" s="31"/>
      <c r="I25" s="31"/>
      <c r="J25" s="44">
        <f>SUMPRODUCT(D25:I25,_xlfn.XLOOKUP(B25,'Global sales'!$C$28:$C$53,'Global sales'!$D$28:$I$53))/_xlfn.XLOOKUP(B25,'Global sales'!$C$28:$C$53,'Global sales'!$J$28:$J$53)</f>
        <v>1</v>
      </c>
      <c r="K25" s="331">
        <f t="shared" si="0"/>
        <v>100</v>
      </c>
      <c r="M25" s="20"/>
    </row>
    <row r="26" spans="2:13" ht="230" customHeight="1">
      <c r="B26" s="19" t="s">
        <v>208</v>
      </c>
      <c r="C26" s="67" t="s">
        <v>460</v>
      </c>
      <c r="D26" s="31">
        <v>1</v>
      </c>
      <c r="E26" s="31">
        <v>1</v>
      </c>
      <c r="F26" s="31">
        <v>1</v>
      </c>
      <c r="G26" s="31">
        <v>1</v>
      </c>
      <c r="H26" s="31">
        <v>1</v>
      </c>
      <c r="I26" s="31">
        <v>1</v>
      </c>
      <c r="J26" s="44">
        <f>SUMPRODUCT(D26:I26,_xlfn.XLOOKUP(B26,'Global sales'!$C$28:$C$53,'Global sales'!$D$28:$I$53))/_xlfn.XLOOKUP(B26,'Global sales'!$C$28:$C$53,'Global sales'!$J$28:$J$53)</f>
        <v>1</v>
      </c>
      <c r="K26" s="331">
        <f t="shared" si="0"/>
        <v>100</v>
      </c>
      <c r="M26" s="20"/>
    </row>
    <row r="27" spans="2:13" ht="50" customHeight="1">
      <c r="B27" s="19" t="s">
        <v>74</v>
      </c>
      <c r="C27" s="67" t="s">
        <v>461</v>
      </c>
      <c r="D27" s="31"/>
      <c r="E27" s="31"/>
      <c r="F27" s="31"/>
      <c r="G27" s="31"/>
      <c r="H27" s="31">
        <v>1</v>
      </c>
      <c r="I27" s="31"/>
      <c r="J27" s="44">
        <f>SUMPRODUCT(D27:I27,_xlfn.XLOOKUP(B27,'Global sales'!$C$28:$C$53,'Global sales'!$D$28:$I$53))/_xlfn.XLOOKUP(B27,'Global sales'!$C$28:$C$53,'Global sales'!$J$28:$J$53)</f>
        <v>1</v>
      </c>
      <c r="K27" s="331">
        <f t="shared" si="0"/>
        <v>100</v>
      </c>
      <c r="M27" s="20"/>
    </row>
    <row r="28" spans="2:13" ht="146" customHeight="1">
      <c r="B28" s="19" t="s">
        <v>209</v>
      </c>
      <c r="C28" s="67" t="s">
        <v>534</v>
      </c>
      <c r="D28" s="31"/>
      <c r="E28" s="31">
        <v>1</v>
      </c>
      <c r="F28" s="31"/>
      <c r="G28" s="31"/>
      <c r="H28" s="31"/>
      <c r="I28" s="31"/>
      <c r="J28" s="44">
        <f>SUMPRODUCT(D28:I28,_xlfn.XLOOKUP(B28,'Global sales'!$C$28:$C$53,'Global sales'!$D$28:$I$53))/_xlfn.XLOOKUP(B28,'Global sales'!$C$28:$C$53,'Global sales'!$J$28:$J$53)</f>
        <v>0.5058431075311639</v>
      </c>
      <c r="K28" s="331">
        <f t="shared" si="0"/>
        <v>50.584310753116391</v>
      </c>
      <c r="M28" s="20"/>
    </row>
    <row r="36" spans="3:11">
      <c r="C36" s="208"/>
      <c r="E36" s="210"/>
      <c r="F36" s="74"/>
      <c r="G36" s="74"/>
      <c r="H36" s="74"/>
      <c r="I36" s="74"/>
      <c r="J36" s="212"/>
      <c r="K36" s="332"/>
    </row>
    <row r="37" spans="3:11">
      <c r="C37" s="208"/>
      <c r="E37" s="210"/>
      <c r="F37" s="74"/>
      <c r="G37" s="74"/>
      <c r="H37" s="74"/>
      <c r="I37" s="74"/>
      <c r="J37" s="212"/>
      <c r="K37" s="332"/>
    </row>
    <row r="38" spans="3:11">
      <c r="C38" s="208"/>
      <c r="E38" s="210"/>
      <c r="F38" s="74"/>
      <c r="G38" s="74"/>
      <c r="H38" s="74"/>
      <c r="I38" s="74"/>
      <c r="J38" s="212"/>
      <c r="K38" s="332"/>
    </row>
    <row r="39" spans="3:11">
      <c r="C39" s="208"/>
      <c r="E39" s="210"/>
      <c r="F39" s="74"/>
      <c r="G39" s="74"/>
      <c r="H39" s="74"/>
      <c r="I39" s="74"/>
      <c r="J39" s="212"/>
      <c r="K39" s="332"/>
    </row>
    <row r="40" spans="3:11">
      <c r="C40" s="208"/>
      <c r="E40" s="210"/>
      <c r="F40" s="74"/>
      <c r="G40" s="74"/>
      <c r="H40" s="74"/>
      <c r="I40" s="74"/>
      <c r="J40" s="212"/>
      <c r="K40" s="332"/>
    </row>
    <row r="41" spans="3:11">
      <c r="C41" s="208"/>
      <c r="E41" s="210"/>
      <c r="F41" s="74"/>
      <c r="G41" s="74"/>
      <c r="H41" s="74"/>
      <c r="I41" s="74"/>
      <c r="J41" s="212"/>
      <c r="K41" s="332"/>
    </row>
    <row r="42" spans="3:11">
      <c r="C42" s="208"/>
      <c r="E42" s="210"/>
      <c r="F42" s="74"/>
      <c r="G42" s="74"/>
      <c r="H42" s="74"/>
      <c r="I42" s="74"/>
      <c r="J42" s="212"/>
      <c r="K42" s="332"/>
    </row>
    <row r="43" spans="3:11">
      <c r="C43" s="208"/>
      <c r="E43" s="210"/>
      <c r="F43" s="74"/>
      <c r="G43" s="74"/>
      <c r="H43" s="74"/>
      <c r="I43" s="74"/>
      <c r="J43" s="212"/>
      <c r="K43" s="332"/>
    </row>
    <row r="44" spans="3:11">
      <c r="C44" s="208"/>
      <c r="E44" s="210"/>
      <c r="F44" s="74"/>
      <c r="G44" s="74"/>
      <c r="H44" s="74"/>
      <c r="I44" s="74"/>
      <c r="J44" s="212"/>
      <c r="K44" s="332"/>
    </row>
    <row r="45" spans="3:11">
      <c r="C45" s="208"/>
      <c r="E45" s="210"/>
      <c r="F45" s="74"/>
      <c r="G45" s="74"/>
      <c r="H45" s="74"/>
      <c r="I45" s="74"/>
      <c r="J45" s="212"/>
      <c r="K45" s="332"/>
    </row>
    <row r="46" spans="3:11">
      <c r="C46" s="208"/>
      <c r="E46" s="210"/>
      <c r="F46" s="74"/>
      <c r="G46" s="74"/>
      <c r="H46" s="74"/>
      <c r="I46" s="74"/>
      <c r="J46" s="212"/>
      <c r="K46" s="332"/>
    </row>
    <row r="47" spans="3:11">
      <c r="C47" s="208"/>
      <c r="E47" s="210"/>
      <c r="F47" s="74"/>
      <c r="G47" s="74"/>
      <c r="H47" s="74"/>
      <c r="I47" s="74"/>
      <c r="J47" s="212"/>
      <c r="K47" s="332"/>
    </row>
    <row r="48" spans="3:11">
      <c r="C48" s="208"/>
      <c r="E48" s="210"/>
      <c r="F48" s="74"/>
      <c r="G48" s="74"/>
      <c r="H48" s="74"/>
      <c r="I48" s="74"/>
      <c r="J48" s="212"/>
      <c r="K48" s="332"/>
    </row>
    <row r="49" spans="3:11">
      <c r="C49" s="208"/>
      <c r="E49" s="210"/>
      <c r="F49" s="74"/>
      <c r="G49" s="74"/>
      <c r="H49" s="74"/>
      <c r="I49" s="74"/>
      <c r="J49" s="212"/>
      <c r="K49" s="332"/>
    </row>
    <row r="50" spans="3:11">
      <c r="C50" s="208"/>
      <c r="E50" s="210"/>
      <c r="F50" s="74"/>
      <c r="G50" s="74"/>
      <c r="H50" s="74"/>
      <c r="I50" s="74"/>
      <c r="J50" s="212"/>
      <c r="K50" s="332"/>
    </row>
    <row r="51" spans="3:11">
      <c r="C51" s="208"/>
      <c r="F51" s="74"/>
      <c r="G51" s="74"/>
      <c r="H51" s="74"/>
      <c r="I51" s="74"/>
      <c r="J51" s="212"/>
      <c r="K51" s="332"/>
    </row>
    <row r="52" spans="3:11">
      <c r="C52" s="208"/>
      <c r="F52" s="74"/>
      <c r="G52" s="74"/>
      <c r="H52" s="74"/>
      <c r="I52" s="74"/>
      <c r="J52" s="212"/>
      <c r="K52" s="332"/>
    </row>
    <row r="53" spans="3:11">
      <c r="C53" s="208"/>
      <c r="F53" s="74"/>
      <c r="G53" s="74"/>
      <c r="H53" s="74"/>
      <c r="I53" s="74"/>
      <c r="J53" s="212"/>
      <c r="K53" s="332"/>
    </row>
    <row r="54" spans="3:11">
      <c r="C54" s="208"/>
      <c r="F54" s="74"/>
      <c r="G54" s="74"/>
      <c r="H54" s="74"/>
      <c r="I54" s="74"/>
      <c r="J54" s="212"/>
      <c r="K54" s="332"/>
    </row>
    <row r="55" spans="3:11">
      <c r="C55" s="208"/>
      <c r="F55" s="74"/>
      <c r="G55" s="74"/>
      <c r="H55" s="74"/>
      <c r="I55" s="74"/>
      <c r="J55" s="212"/>
      <c r="K55" s="332"/>
    </row>
    <row r="56" spans="3:11">
      <c r="C56" s="208"/>
      <c r="F56" s="74"/>
      <c r="G56" s="74"/>
      <c r="H56" s="74"/>
      <c r="I56" s="74"/>
      <c r="J56" s="212"/>
      <c r="K56" s="332"/>
    </row>
    <row r="57" spans="3:11">
      <c r="C57" s="208"/>
      <c r="F57" s="74"/>
      <c r="G57" s="74"/>
      <c r="H57" s="74"/>
      <c r="I57" s="74"/>
      <c r="J57" s="212"/>
      <c r="K57" s="332"/>
    </row>
    <row r="58" spans="3:11">
      <c r="C58" s="208"/>
      <c r="F58" s="74"/>
      <c r="G58" s="74"/>
      <c r="H58" s="74"/>
      <c r="I58" s="74"/>
      <c r="J58" s="212"/>
      <c r="K58" s="332"/>
    </row>
    <row r="59" spans="3:11">
      <c r="C59" s="208"/>
      <c r="F59" s="74"/>
      <c r="G59" s="74"/>
      <c r="H59" s="74"/>
      <c r="I59" s="74"/>
      <c r="J59" s="212"/>
      <c r="K59" s="332"/>
    </row>
    <row r="60" spans="3:11">
      <c r="C60" s="208"/>
      <c r="F60" s="74"/>
      <c r="G60" s="74"/>
      <c r="H60" s="74"/>
      <c r="I60" s="74"/>
      <c r="J60" s="212"/>
      <c r="K60" s="332"/>
    </row>
    <row r="61" spans="3:11">
      <c r="C61" s="208"/>
      <c r="F61" s="74"/>
      <c r="G61" s="74"/>
      <c r="H61" s="74"/>
      <c r="I61" s="74"/>
      <c r="J61" s="212"/>
      <c r="K61" s="332"/>
    </row>
    <row r="62" spans="3:11">
      <c r="C62" s="208"/>
      <c r="F62" s="74"/>
      <c r="G62" s="74"/>
      <c r="H62" s="74"/>
      <c r="I62" s="74"/>
      <c r="J62" s="212"/>
      <c r="K62" s="332"/>
    </row>
    <row r="63" spans="3:11">
      <c r="C63" s="208"/>
      <c r="F63" s="74"/>
      <c r="G63" s="74"/>
      <c r="H63" s="74"/>
      <c r="I63" s="74"/>
      <c r="J63" s="212"/>
      <c r="K63" s="332"/>
    </row>
    <row r="64" spans="3:11">
      <c r="C64" s="208"/>
      <c r="F64" s="74"/>
      <c r="G64" s="74"/>
      <c r="H64" s="74"/>
      <c r="I64" s="74"/>
      <c r="J64" s="212"/>
      <c r="K64" s="332"/>
    </row>
    <row r="65" spans="3:11">
      <c r="C65" s="208"/>
      <c r="F65" s="74"/>
      <c r="G65" s="74"/>
      <c r="H65" s="74"/>
      <c r="I65" s="74"/>
      <c r="J65" s="212"/>
      <c r="K65" s="332"/>
    </row>
  </sheetData>
  <sheetProtection algorithmName="SHA-512" hashValue="MoXCN/e63qagwk1KnBc4AX+aY4jWlJ+qI3i17HsxoWEW1dE8C9OyC6Fgl7BZHAbqqpouj7+MY3YF+23dg/746g==" saltValue="4p8mVQxFSJlwDFU+GarMjQ==" spinCount="100000" sheet="1" objects="1" scenarios="1" selectLockedCells="1" selectUnlockedCells="1"/>
  <phoneticPr fontId="3" type="noConversion"/>
  <conditionalFormatting sqref="K3:K19">
    <cfRule type="colorScale" priority="2">
      <colorScale>
        <cfvo type="min"/>
        <cfvo type="percentile" val="50"/>
        <cfvo type="max"/>
        <color theme="0"/>
        <color theme="5" tint="0.59999389629810485"/>
        <color theme="5"/>
      </colorScale>
    </cfRule>
  </conditionalFormatting>
  <conditionalFormatting sqref="K3:K22">
    <cfRule type="colorScale" priority="1">
      <colorScale>
        <cfvo type="min"/>
        <cfvo type="percentile" val="50"/>
        <cfvo type="max"/>
        <color theme="0"/>
        <color theme="5" tint="0.59999389629810485"/>
        <color theme="5"/>
      </colorScale>
    </cfRule>
  </conditionalFormatting>
  <pageMargins left="0.7" right="0.7" top="0.75" bottom="0.75" header="0.3" footer="0.3"/>
  <pageSetup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C3144-DB88-3348-858E-BBB947B178F8}">
  <sheetPr>
    <tabColor theme="8" tint="0.39997558519241921"/>
  </sheetPr>
  <dimension ref="B1:R92"/>
  <sheetViews>
    <sheetView zoomScaleNormal="100" workbookViewId="0"/>
  </sheetViews>
  <sheetFormatPr baseColWidth="10" defaultColWidth="11" defaultRowHeight="16"/>
  <cols>
    <col min="1" max="1" width="3.33203125" style="18" customWidth="1"/>
    <col min="2" max="2" width="15.1640625" style="18" customWidth="1"/>
    <col min="3" max="3" width="16.33203125" style="18" customWidth="1"/>
    <col min="4" max="4" width="13.83203125" style="18" customWidth="1"/>
    <col min="5" max="8" width="12.5" style="18" customWidth="1"/>
    <col min="9" max="9" width="12.33203125" style="18" customWidth="1"/>
    <col min="10" max="10" width="11.6640625" style="18" customWidth="1"/>
    <col min="11" max="11" width="14.33203125" style="18" customWidth="1"/>
    <col min="12" max="12" width="18.33203125" style="5" customWidth="1"/>
    <col min="13" max="15" width="10.5" style="5" customWidth="1"/>
    <col min="16" max="16" width="9.33203125" style="5" customWidth="1"/>
    <col min="17" max="17" width="16.83203125" style="5" customWidth="1"/>
    <col min="18" max="16319" width="11" style="18"/>
    <col min="16320" max="16323" width="11" style="18" bestFit="1"/>
    <col min="16324" max="16384" width="11" style="18"/>
  </cols>
  <sheetData>
    <row r="1" spans="2:18">
      <c r="L1" s="18"/>
      <c r="M1" s="18"/>
      <c r="N1" s="18"/>
      <c r="O1" s="18"/>
      <c r="P1" s="18"/>
    </row>
    <row r="2" spans="2:18">
      <c r="B2" s="435" t="s">
        <v>76</v>
      </c>
      <c r="C2" s="436" t="s">
        <v>341</v>
      </c>
      <c r="D2" s="435" t="s">
        <v>342</v>
      </c>
      <c r="E2" s="435"/>
      <c r="F2" s="435"/>
      <c r="G2" s="435"/>
      <c r="H2" s="435"/>
      <c r="I2" s="435" t="s">
        <v>434</v>
      </c>
      <c r="J2" s="435"/>
      <c r="K2" s="435"/>
      <c r="L2" s="437" t="s">
        <v>356</v>
      </c>
      <c r="M2" s="437" t="s">
        <v>432</v>
      </c>
      <c r="N2" s="439" t="s">
        <v>357</v>
      </c>
      <c r="O2" s="435" t="s">
        <v>317</v>
      </c>
      <c r="P2" s="438" t="s">
        <v>215</v>
      </c>
      <c r="Q2" s="438"/>
    </row>
    <row r="3" spans="2:18" ht="24">
      <c r="B3" s="435"/>
      <c r="C3" s="436"/>
      <c r="D3" s="183" t="s">
        <v>343</v>
      </c>
      <c r="E3" s="183" t="s">
        <v>344</v>
      </c>
      <c r="F3" s="183" t="s">
        <v>358</v>
      </c>
      <c r="G3" s="183" t="s">
        <v>359</v>
      </c>
      <c r="H3" s="183" t="s">
        <v>345</v>
      </c>
      <c r="I3" s="183" t="s">
        <v>429</v>
      </c>
      <c r="J3" s="183" t="s">
        <v>430</v>
      </c>
      <c r="K3" s="183" t="s">
        <v>431</v>
      </c>
      <c r="L3" s="437"/>
      <c r="M3" s="437"/>
      <c r="N3" s="439"/>
      <c r="O3" s="435"/>
      <c r="P3" s="438"/>
      <c r="Q3" s="438"/>
    </row>
    <row r="4" spans="2:18">
      <c r="B4" s="251" t="s">
        <v>17</v>
      </c>
      <c r="C4" s="251" t="s">
        <v>17</v>
      </c>
      <c r="D4" s="251" t="s">
        <v>316</v>
      </c>
      <c r="E4" s="252">
        <v>1</v>
      </c>
      <c r="F4" s="251" t="s">
        <v>346</v>
      </c>
      <c r="G4" s="248">
        <v>2025</v>
      </c>
      <c r="H4" s="248" t="s">
        <v>221</v>
      </c>
      <c r="I4" s="253">
        <f>IF(H4="ZEV",$C$44,IF(H4="Hybrid",E4,_xlfn.XLOOKUP(C4,$B$46:$B$51,$C$46:$C$51)))</f>
        <v>1</v>
      </c>
      <c r="J4" s="254">
        <f>(E4/_xlfn.XLOOKUP(G4,$B$54:$B$56,$C$54:$C$56))*I4</f>
        <v>1.2987012987012987</v>
      </c>
      <c r="K4" s="255">
        <v>1197376</v>
      </c>
      <c r="L4" s="256">
        <f t="shared" ref="L4:L38" si="0">J4</f>
        <v>1.2987012987012987</v>
      </c>
      <c r="M4" s="291">
        <f>_xlfn.XLOOKUP(B4,'Global sales'!$B$4:$B$23,'Global sales'!$I$4:$I$23)</f>
        <v>1197376</v>
      </c>
      <c r="N4" s="215">
        <f>MAX(N5:N26,N28:N38)</f>
        <v>1.0740797502235442</v>
      </c>
      <c r="O4" s="259">
        <f>(N4-MIN($N$4:$N$38))/(MAX($N$4:$N$38)-MIN($N$4:$N$38))*100</f>
        <v>100</v>
      </c>
      <c r="P4" s="337" t="s">
        <v>64</v>
      </c>
      <c r="Q4" s="338"/>
      <c r="R4" s="257"/>
    </row>
    <row r="5" spans="2:18">
      <c r="B5" s="250" t="s">
        <v>46</v>
      </c>
      <c r="C5" s="184" t="s">
        <v>46</v>
      </c>
      <c r="D5" s="184" t="s">
        <v>78</v>
      </c>
      <c r="E5" s="185">
        <v>1</v>
      </c>
      <c r="F5" s="184" t="s">
        <v>346</v>
      </c>
      <c r="G5" s="186">
        <v>2030</v>
      </c>
      <c r="H5" s="186" t="s">
        <v>221</v>
      </c>
      <c r="I5" s="246">
        <f>IF(H5="ZEV",$C$44,IF(H5="Hybrid",E5,_xlfn.XLOOKUP(C5,$B$46:$B$51,$C$46:$C$51)))</f>
        <v>1</v>
      </c>
      <c r="J5" s="247">
        <f>(E5/_xlfn.XLOOKUP(G5,$B$54:$B$56,$C$54:$C$56))*I5</f>
        <v>1.2987012987012987</v>
      </c>
      <c r="K5" s="249">
        <v>815657</v>
      </c>
      <c r="L5" s="215">
        <f t="shared" si="0"/>
        <v>1.2987012987012987</v>
      </c>
      <c r="M5" s="434">
        <f>_xlfn.XLOOKUP(B5,'Global sales'!$B$4:$B$23,'Global sales'!$I$4:$I$23)</f>
        <v>1444978</v>
      </c>
      <c r="N5" s="428" cm="1">
        <f t="array" ref="N5">SUM(IFERROR(($L$4:$L$38)*($K$4:$K$38)*($B$4:$B$38=$B5),0))/M5</f>
        <v>1.0740797502235442</v>
      </c>
      <c r="O5" s="431">
        <f>(N5-MIN($N$4:$N$38))/(MAX($N$4:$N$38)-MIN($N$4:$N$38))*100</f>
        <v>100</v>
      </c>
      <c r="P5" s="339" t="s">
        <v>382</v>
      </c>
      <c r="Q5" s="339"/>
      <c r="R5" s="257"/>
    </row>
    <row r="6" spans="2:18">
      <c r="B6" s="250" t="s">
        <v>46</v>
      </c>
      <c r="C6" s="184" t="s">
        <v>149</v>
      </c>
      <c r="D6" s="184" t="s">
        <v>78</v>
      </c>
      <c r="E6" s="185">
        <v>1</v>
      </c>
      <c r="F6" s="184" t="s">
        <v>346</v>
      </c>
      <c r="G6" s="186">
        <v>2035</v>
      </c>
      <c r="H6" s="186" t="s">
        <v>221</v>
      </c>
      <c r="I6" s="246">
        <f>IF(H6="ZEV",$C$44,IF(H6="Hybrid",E6,_xlfn.XLOOKUP(C6,$B$46:$B$51,$C$46:$C$51)))</f>
        <v>1</v>
      </c>
      <c r="J6" s="247">
        <f>(E6/_xlfn.XLOOKUP(G6,$B$54:$B$56,$C$54:$C$56))*I6</f>
        <v>1.0309278350515465</v>
      </c>
      <c r="K6" s="249">
        <v>477945</v>
      </c>
      <c r="L6" s="215">
        <f t="shared" si="0"/>
        <v>1.0309278350515465</v>
      </c>
      <c r="M6" s="434"/>
      <c r="N6" s="428"/>
      <c r="O6" s="432"/>
      <c r="P6" s="339" t="s">
        <v>383</v>
      </c>
      <c r="Q6" s="339"/>
      <c r="R6" s="257"/>
    </row>
    <row r="7" spans="2:18">
      <c r="B7" s="250" t="s">
        <v>46</v>
      </c>
      <c r="C7" s="184" t="s">
        <v>347</v>
      </c>
      <c r="D7" s="184" t="s">
        <v>348</v>
      </c>
      <c r="E7" s="186" t="s">
        <v>348</v>
      </c>
      <c r="F7" s="184" t="s">
        <v>348</v>
      </c>
      <c r="G7" s="186" t="s">
        <v>348</v>
      </c>
      <c r="H7" s="186" t="s">
        <v>348</v>
      </c>
      <c r="I7" s="246" t="s">
        <v>360</v>
      </c>
      <c r="J7" s="247" t="s">
        <v>360</v>
      </c>
      <c r="K7" s="249" t="s">
        <v>360</v>
      </c>
      <c r="L7" s="215" t="str">
        <f t="shared" si="0"/>
        <v>/</v>
      </c>
      <c r="M7" s="434"/>
      <c r="N7" s="428"/>
      <c r="O7" s="433"/>
      <c r="P7" s="337" t="s">
        <v>64</v>
      </c>
      <c r="Q7" s="340"/>
      <c r="R7" s="257"/>
    </row>
    <row r="8" spans="2:18">
      <c r="B8" s="184" t="s">
        <v>52</v>
      </c>
      <c r="C8" s="184" t="s">
        <v>52</v>
      </c>
      <c r="D8" s="184" t="s">
        <v>349</v>
      </c>
      <c r="E8" s="185">
        <v>1</v>
      </c>
      <c r="F8" s="184" t="s">
        <v>346</v>
      </c>
      <c r="G8" s="186">
        <v>2035</v>
      </c>
      <c r="H8" s="186" t="s">
        <v>221</v>
      </c>
      <c r="I8" s="246">
        <f t="shared" ref="I8:I18" si="1">IF(H8="ZEV",$C$44,IF(H8="Hybrid",E8,_xlfn.XLOOKUP(C8,$B$46:$B$51,$C$46:$C$51)))</f>
        <v>1</v>
      </c>
      <c r="J8" s="247">
        <f t="shared" ref="J8:J18" si="2">(E8/_xlfn.XLOOKUP(G8,$B$54:$B$56,$C$54:$C$56))*I8</f>
        <v>1.0309278350515465</v>
      </c>
      <c r="K8" s="249">
        <v>2939512</v>
      </c>
      <c r="L8" s="215">
        <f t="shared" si="0"/>
        <v>1.0309278350515465</v>
      </c>
      <c r="M8" s="291">
        <f>_xlfn.XLOOKUP(B8,'Global sales'!$B$4:$B$23,'Global sales'!$I$4:$I$23)</f>
        <v>2939512</v>
      </c>
      <c r="N8" s="215" cm="1">
        <f t="array" ref="N8">SUM(IFERROR(($L$4:$L$38)*($K$4:$K$38)*($B$4:$B$38=$B8),0))/M8</f>
        <v>1.0309278350515465</v>
      </c>
      <c r="O8" s="296">
        <f>(N8-MIN($N$4:$N$38))/(MAX($N$4:$N$38)-MIN($N$4:$N$38))*100</f>
        <v>95.982429129399691</v>
      </c>
      <c r="P8" s="339" t="s">
        <v>226</v>
      </c>
      <c r="Q8" s="339"/>
      <c r="R8" s="257"/>
    </row>
    <row r="9" spans="2:18">
      <c r="B9" s="184" t="s">
        <v>54</v>
      </c>
      <c r="C9" s="184" t="s">
        <v>54</v>
      </c>
      <c r="D9" s="184" t="s">
        <v>349</v>
      </c>
      <c r="E9" s="185">
        <v>1</v>
      </c>
      <c r="F9" s="184" t="s">
        <v>346</v>
      </c>
      <c r="G9" s="186">
        <v>2035</v>
      </c>
      <c r="H9" s="186" t="s">
        <v>221</v>
      </c>
      <c r="I9" s="246">
        <f t="shared" si="1"/>
        <v>1</v>
      </c>
      <c r="J9" s="247">
        <f t="shared" si="2"/>
        <v>1.0309278350515465</v>
      </c>
      <c r="K9" s="249">
        <v>3025733</v>
      </c>
      <c r="L9" s="215">
        <f t="shared" si="0"/>
        <v>1.0309278350515465</v>
      </c>
      <c r="M9" s="291">
        <f>_xlfn.XLOOKUP(B9,'Global sales'!$B$4:$B$23,'Global sales'!$I$4:$I$23)</f>
        <v>3025733</v>
      </c>
      <c r="N9" s="215" cm="1">
        <f t="array" ref="N9">SUM(IFERROR(($L$4:$L$38)*($K$4:$K$38)*($B$4:$B$38=$B9),0))/M9</f>
        <v>1.0309278350515465</v>
      </c>
      <c r="O9" s="296">
        <f>(N9-MIN($N$4:$N$38))/(MAX($N$4:$N$38)-MIN($N$4:$N$38))*100</f>
        <v>95.982429129399691</v>
      </c>
      <c r="P9" s="339" t="s">
        <v>226</v>
      </c>
      <c r="Q9" s="339"/>
      <c r="R9" s="257"/>
    </row>
    <row r="10" spans="2:18" ht="17" customHeight="1">
      <c r="B10" s="184" t="s">
        <v>50</v>
      </c>
      <c r="C10" s="184" t="s">
        <v>50</v>
      </c>
      <c r="D10" s="184" t="s">
        <v>349</v>
      </c>
      <c r="E10" s="185">
        <v>1</v>
      </c>
      <c r="F10" s="184" t="s">
        <v>346</v>
      </c>
      <c r="G10" s="186">
        <v>2035</v>
      </c>
      <c r="H10" s="186" t="s">
        <v>221</v>
      </c>
      <c r="I10" s="246">
        <f t="shared" si="1"/>
        <v>1</v>
      </c>
      <c r="J10" s="247">
        <f t="shared" si="2"/>
        <v>1.0309278350515465</v>
      </c>
      <c r="K10" s="249">
        <v>1923697</v>
      </c>
      <c r="L10" s="215">
        <f t="shared" si="0"/>
        <v>1.0309278350515465</v>
      </c>
      <c r="M10" s="291">
        <f>_xlfn.XLOOKUP(B10,'Global sales'!$B$4:$B$23,'Global sales'!$I$4:$I$23)</f>
        <v>1923697</v>
      </c>
      <c r="N10" s="215" cm="1">
        <f t="array" ref="N10">SUM(IFERROR(($L$4:$L$38)*($K$4:$K$38)*($B$4:$B$38=$B10),0))/M10</f>
        <v>1.0309278350515465</v>
      </c>
      <c r="O10" s="296">
        <f>(N10-MIN($N$4:$N$38))/(MAX($N$4:$N$38)-MIN($N$4:$N$38))*100</f>
        <v>95.982429129399691</v>
      </c>
      <c r="P10" s="339" t="s">
        <v>226</v>
      </c>
      <c r="Q10" s="339"/>
      <c r="R10" s="257"/>
    </row>
    <row r="11" spans="2:18" ht="17" customHeight="1">
      <c r="B11" s="184" t="s">
        <v>58</v>
      </c>
      <c r="C11" s="184" t="s">
        <v>58</v>
      </c>
      <c r="D11" s="184" t="s">
        <v>316</v>
      </c>
      <c r="E11" s="185">
        <v>0.8</v>
      </c>
      <c r="F11" s="184" t="s">
        <v>346</v>
      </c>
      <c r="G11" s="186">
        <v>2025</v>
      </c>
      <c r="H11" s="186" t="s">
        <v>350</v>
      </c>
      <c r="I11" s="246">
        <f t="shared" si="1"/>
        <v>0.95094096146701679</v>
      </c>
      <c r="J11" s="247">
        <f t="shared" si="2"/>
        <v>0.98799060931638116</v>
      </c>
      <c r="K11" s="249">
        <v>924768</v>
      </c>
      <c r="L11" s="215">
        <f t="shared" si="0"/>
        <v>0.98799060931638116</v>
      </c>
      <c r="M11" s="291">
        <f>_xlfn.XLOOKUP(B11,'Global sales'!$B$4:$B$23,'Global sales'!$I$4:$I$23)</f>
        <v>924768</v>
      </c>
      <c r="N11" s="215" cm="1">
        <f t="array" ref="N11">SUM(IFERROR(($L$4:$L$38)*($K$4:$K$38)*($B$4:$B$38=$B11),0))/M11</f>
        <v>0.98799060931638116</v>
      </c>
      <c r="O11" s="296">
        <f>(N11-MIN($N$4:$N$38))/(MAX($N$4:$N$38)-MIN($N$4:$N$38))*100</f>
        <v>91.984846480045306</v>
      </c>
      <c r="P11" s="339" t="s">
        <v>379</v>
      </c>
      <c r="Q11" s="339"/>
      <c r="R11" s="257"/>
    </row>
    <row r="12" spans="2:18">
      <c r="B12" s="184" t="s">
        <v>41</v>
      </c>
      <c r="C12" s="430" t="s">
        <v>41</v>
      </c>
      <c r="D12" s="184" t="s">
        <v>78</v>
      </c>
      <c r="E12" s="185">
        <v>0.7</v>
      </c>
      <c r="F12" s="184" t="s">
        <v>351</v>
      </c>
      <c r="G12" s="186">
        <v>2030</v>
      </c>
      <c r="H12" s="186" t="s">
        <v>221</v>
      </c>
      <c r="I12" s="246">
        <f t="shared" si="1"/>
        <v>1</v>
      </c>
      <c r="J12" s="247">
        <f t="shared" si="2"/>
        <v>0.90909090909090906</v>
      </c>
      <c r="K12" s="249">
        <v>2787212</v>
      </c>
      <c r="L12" s="215">
        <f t="shared" si="0"/>
        <v>0.90909090909090906</v>
      </c>
      <c r="M12" s="434">
        <f>_xlfn.XLOOKUP(B12,'Global sales'!$B$4:$B$23,'Global sales'!$I$4:$I$23)</f>
        <v>6052626</v>
      </c>
      <c r="N12" s="428" cm="1">
        <f t="array" ref="N12">SUM(IFERROR(($L$4:$L$38)*($K$4:$K$38)*($B$4:$B$38=$B12),0))/M12</f>
        <v>0.98381135323071212</v>
      </c>
      <c r="O12" s="431">
        <f>(N12-MIN($N$4:$N$38))/(MAX($N$4:$N$38)-MIN($N$4:$N$38))*100</f>
        <v>91.595745383520651</v>
      </c>
      <c r="P12" s="339" t="s">
        <v>371</v>
      </c>
      <c r="Q12" s="340"/>
      <c r="R12" s="257"/>
    </row>
    <row r="13" spans="2:18">
      <c r="B13" s="184" t="s">
        <v>41</v>
      </c>
      <c r="C13" s="430"/>
      <c r="D13" s="184" t="s">
        <v>211</v>
      </c>
      <c r="E13" s="185">
        <v>0.5</v>
      </c>
      <c r="F13" s="184" t="s">
        <v>346</v>
      </c>
      <c r="G13" s="186">
        <v>2030</v>
      </c>
      <c r="H13" s="186" t="s">
        <v>221</v>
      </c>
      <c r="I13" s="246">
        <f t="shared" si="1"/>
        <v>1</v>
      </c>
      <c r="J13" s="247">
        <f t="shared" si="2"/>
        <v>0.64935064935064934</v>
      </c>
      <c r="K13" s="249">
        <v>594332</v>
      </c>
      <c r="L13" s="215">
        <f t="shared" si="0"/>
        <v>0.64935064935064934</v>
      </c>
      <c r="M13" s="434"/>
      <c r="N13" s="428"/>
      <c r="O13" s="432"/>
      <c r="P13" s="339" t="s">
        <v>371</v>
      </c>
      <c r="Q13" s="340"/>
      <c r="R13" s="257"/>
    </row>
    <row r="14" spans="2:18">
      <c r="B14" s="184" t="s">
        <v>41</v>
      </c>
      <c r="C14" s="430"/>
      <c r="D14" s="184" t="s">
        <v>77</v>
      </c>
      <c r="E14" s="185">
        <v>0.5</v>
      </c>
      <c r="F14" s="184" t="s">
        <v>346</v>
      </c>
      <c r="G14" s="186">
        <v>2030</v>
      </c>
      <c r="H14" s="186" t="s">
        <v>221</v>
      </c>
      <c r="I14" s="246">
        <f t="shared" si="1"/>
        <v>1</v>
      </c>
      <c r="J14" s="247">
        <f t="shared" si="2"/>
        <v>0.64935064935064934</v>
      </c>
      <c r="K14" s="249">
        <v>2281896</v>
      </c>
      <c r="L14" s="215">
        <f t="shared" si="0"/>
        <v>0.64935064935064934</v>
      </c>
      <c r="M14" s="434"/>
      <c r="N14" s="428"/>
      <c r="O14" s="432"/>
      <c r="P14" s="339" t="s">
        <v>371</v>
      </c>
      <c r="Q14" s="340"/>
      <c r="R14" s="257"/>
    </row>
    <row r="15" spans="2:18">
      <c r="B15" s="184" t="s">
        <v>41</v>
      </c>
      <c r="C15" s="184" t="s">
        <v>189</v>
      </c>
      <c r="D15" s="184" t="s">
        <v>352</v>
      </c>
      <c r="E15" s="185">
        <v>1</v>
      </c>
      <c r="F15" s="184" t="s">
        <v>346</v>
      </c>
      <c r="G15" s="186">
        <v>2035</v>
      </c>
      <c r="H15" s="186" t="s">
        <v>221</v>
      </c>
      <c r="I15" s="246">
        <f t="shared" si="1"/>
        <v>1</v>
      </c>
      <c r="J15" s="247">
        <f t="shared" si="2"/>
        <v>1.0309278350515465</v>
      </c>
      <c r="K15" s="249">
        <v>848269</v>
      </c>
      <c r="L15" s="215">
        <f t="shared" si="0"/>
        <v>1.0309278350515465</v>
      </c>
      <c r="M15" s="434"/>
      <c r="N15" s="428"/>
      <c r="O15" s="432"/>
      <c r="P15" s="339" t="s">
        <v>372</v>
      </c>
      <c r="Q15" s="340"/>
      <c r="R15" s="257"/>
    </row>
    <row r="16" spans="2:18">
      <c r="B16" s="184" t="s">
        <v>41</v>
      </c>
      <c r="C16" s="184" t="s">
        <v>201</v>
      </c>
      <c r="D16" s="184" t="s">
        <v>78</v>
      </c>
      <c r="E16" s="185">
        <v>0.7</v>
      </c>
      <c r="F16" s="184" t="s">
        <v>346</v>
      </c>
      <c r="G16" s="186">
        <v>2030</v>
      </c>
      <c r="H16" s="186" t="s">
        <v>221</v>
      </c>
      <c r="I16" s="246">
        <f t="shared" si="1"/>
        <v>1</v>
      </c>
      <c r="J16" s="247">
        <f t="shared" si="2"/>
        <v>0.90909090909090906</v>
      </c>
      <c r="K16" s="249">
        <v>539551</v>
      </c>
      <c r="L16" s="215">
        <f t="shared" si="0"/>
        <v>0.90909090909090906</v>
      </c>
      <c r="M16" s="434"/>
      <c r="N16" s="428"/>
      <c r="O16" s="432"/>
      <c r="P16" s="339" t="s">
        <v>310</v>
      </c>
      <c r="Q16" s="340"/>
      <c r="R16" s="257"/>
    </row>
    <row r="17" spans="2:18">
      <c r="B17" s="184" t="s">
        <v>41</v>
      </c>
      <c r="C17" s="184" t="s">
        <v>190</v>
      </c>
      <c r="D17" s="184" t="s">
        <v>316</v>
      </c>
      <c r="E17" s="185">
        <v>1</v>
      </c>
      <c r="F17" s="184" t="s">
        <v>346</v>
      </c>
      <c r="G17" s="186">
        <v>2030</v>
      </c>
      <c r="H17" s="186" t="s">
        <v>221</v>
      </c>
      <c r="I17" s="246">
        <f t="shared" si="1"/>
        <v>1</v>
      </c>
      <c r="J17" s="247">
        <f t="shared" si="2"/>
        <v>1.2987012987012987</v>
      </c>
      <c r="K17" s="249">
        <v>5471</v>
      </c>
      <c r="L17" s="215">
        <f t="shared" si="0"/>
        <v>1.2987012987012987</v>
      </c>
      <c r="M17" s="434"/>
      <c r="N17" s="428"/>
      <c r="O17" s="432"/>
      <c r="P17" s="339" t="s">
        <v>311</v>
      </c>
      <c r="Q17" s="340"/>
      <c r="R17" s="257"/>
    </row>
    <row r="18" spans="2:18" ht="18" customHeight="1">
      <c r="B18" s="184" t="s">
        <v>41</v>
      </c>
      <c r="C18" s="184" t="s">
        <v>198</v>
      </c>
      <c r="D18" s="184" t="s">
        <v>316</v>
      </c>
      <c r="E18" s="185">
        <v>0.8</v>
      </c>
      <c r="F18" s="184" t="s">
        <v>346</v>
      </c>
      <c r="G18" s="186">
        <v>2030</v>
      </c>
      <c r="H18" s="186" t="s">
        <v>221</v>
      </c>
      <c r="I18" s="246">
        <f t="shared" si="1"/>
        <v>1</v>
      </c>
      <c r="J18" s="247">
        <f t="shared" si="2"/>
        <v>1.0389610389610391</v>
      </c>
      <c r="K18" s="249">
        <v>174234</v>
      </c>
      <c r="L18" s="215">
        <f t="shared" si="0"/>
        <v>1.0389610389610391</v>
      </c>
      <c r="M18" s="434"/>
      <c r="N18" s="428"/>
      <c r="O18" s="432"/>
      <c r="P18" s="339" t="s">
        <v>373</v>
      </c>
      <c r="Q18" s="340"/>
      <c r="R18" s="257"/>
    </row>
    <row r="19" spans="2:18">
      <c r="B19" s="184" t="s">
        <v>41</v>
      </c>
      <c r="C19" s="184" t="s">
        <v>347</v>
      </c>
      <c r="D19" s="184" t="s">
        <v>348</v>
      </c>
      <c r="E19" s="186" t="s">
        <v>348</v>
      </c>
      <c r="F19" s="184" t="s">
        <v>348</v>
      </c>
      <c r="G19" s="186" t="s">
        <v>348</v>
      </c>
      <c r="H19" s="186" t="s">
        <v>348</v>
      </c>
      <c r="I19" s="246" t="s">
        <v>360</v>
      </c>
      <c r="J19" s="247" t="s">
        <v>360</v>
      </c>
      <c r="K19" s="249" t="s">
        <v>360</v>
      </c>
      <c r="L19" s="215" t="str">
        <f t="shared" si="0"/>
        <v>/</v>
      </c>
      <c r="M19" s="434"/>
      <c r="N19" s="428"/>
      <c r="O19" s="433"/>
      <c r="P19" s="337" t="s">
        <v>64</v>
      </c>
      <c r="Q19" s="340"/>
      <c r="R19" s="257"/>
    </row>
    <row r="20" spans="2:18">
      <c r="B20" s="184" t="s">
        <v>48</v>
      </c>
      <c r="C20" s="430" t="s">
        <v>48</v>
      </c>
      <c r="D20" s="184" t="s">
        <v>78</v>
      </c>
      <c r="E20" s="185">
        <v>1</v>
      </c>
      <c r="F20" s="184" t="s">
        <v>351</v>
      </c>
      <c r="G20" s="186">
        <v>2030</v>
      </c>
      <c r="H20" s="186" t="s">
        <v>221</v>
      </c>
      <c r="I20" s="246">
        <f t="shared" ref="I20:I37" si="3">IF(H20="ZEV",$C$44,IF(H20="Hybrid",E20,_xlfn.XLOOKUP(C20,$B$46:$B$51,$C$46:$C$51)))</f>
        <v>1</v>
      </c>
      <c r="J20" s="247">
        <f t="shared" ref="J20:J37" si="4">(E20/_xlfn.XLOOKUP(G20,$B$54:$B$56,$C$54:$C$56))*I20</f>
        <v>1.2987012987012987</v>
      </c>
      <c r="K20" s="249">
        <v>2058735</v>
      </c>
      <c r="L20" s="215">
        <f t="shared" si="0"/>
        <v>1.2987012987012987</v>
      </c>
      <c r="M20" s="434">
        <f>_xlfn.XLOOKUP(B20,'Global sales'!$B$4:$B$23,'Global sales'!$I$4:$I$23)</f>
        <v>4250963</v>
      </c>
      <c r="N20" s="428" cm="1">
        <f t="array" ref="N20">SUM(IFERROR(($L$4:$L$38)*($K$4:$K$38)*($B$4:$B$38=$B20),0))/M20</f>
        <v>0.86939872640195137</v>
      </c>
      <c r="O20" s="426">
        <f>(N20-MIN($N$4:$N$38))/(MAX($N$4:$N$38)-MIN($N$4:$N$38))*100</f>
        <v>80.943591592803671</v>
      </c>
      <c r="P20" s="339" t="s">
        <v>375</v>
      </c>
      <c r="Q20" s="339" t="s">
        <v>224</v>
      </c>
      <c r="R20" s="257"/>
    </row>
    <row r="21" spans="2:18">
      <c r="B21" s="184" t="s">
        <v>48</v>
      </c>
      <c r="C21" s="430"/>
      <c r="D21" s="184" t="s">
        <v>211</v>
      </c>
      <c r="E21" s="185">
        <v>0.5</v>
      </c>
      <c r="F21" s="184" t="s">
        <v>346</v>
      </c>
      <c r="G21" s="186">
        <v>2030</v>
      </c>
      <c r="H21" s="186" t="s">
        <v>221</v>
      </c>
      <c r="I21" s="246">
        <f t="shared" si="3"/>
        <v>1</v>
      </c>
      <c r="J21" s="247">
        <f t="shared" si="4"/>
        <v>0.64935064935064934</v>
      </c>
      <c r="K21" s="249">
        <v>1574034</v>
      </c>
      <c r="L21" s="215">
        <f t="shared" si="0"/>
        <v>0.64935064935064934</v>
      </c>
      <c r="M21" s="434"/>
      <c r="N21" s="428"/>
      <c r="O21" s="427"/>
      <c r="P21" s="339" t="s">
        <v>375</v>
      </c>
      <c r="Q21" s="339" t="s">
        <v>224</v>
      </c>
      <c r="R21" s="257"/>
    </row>
    <row r="22" spans="2:18">
      <c r="B22" s="184" t="s">
        <v>51</v>
      </c>
      <c r="C22" s="184" t="s">
        <v>51</v>
      </c>
      <c r="D22" s="184" t="s">
        <v>349</v>
      </c>
      <c r="E22" s="185">
        <v>0.8</v>
      </c>
      <c r="F22" s="184" t="s">
        <v>346</v>
      </c>
      <c r="G22" s="186">
        <v>2035</v>
      </c>
      <c r="H22" s="186" t="s">
        <v>221</v>
      </c>
      <c r="I22" s="246">
        <f t="shared" si="3"/>
        <v>1</v>
      </c>
      <c r="J22" s="247">
        <f t="shared" si="4"/>
        <v>0.82474226804123718</v>
      </c>
      <c r="K22" s="249">
        <v>2883634</v>
      </c>
      <c r="L22" s="215">
        <f t="shared" si="0"/>
        <v>0.82474226804123718</v>
      </c>
      <c r="M22" s="291">
        <f>_xlfn.XLOOKUP(B22,'Global sales'!$B$4:$B$23,'Global sales'!$I$4:$I$23)</f>
        <v>3048523</v>
      </c>
      <c r="N22" s="215" cm="1">
        <f t="array" ref="N22">SUM(IFERROR(($L$4:$L$38)*($K$4:$K$38)*($B$4:$B$38=$B22),0))/M22</f>
        <v>0.78013347623121909</v>
      </c>
      <c r="O22" s="297">
        <f>(N22-MIN($N$4:$N$38))/(MAX($N$4:$N$38)-MIN($N$4:$N$38))*100</f>
        <v>72.632732911020142</v>
      </c>
      <c r="P22" s="337" t="s">
        <v>463</v>
      </c>
      <c r="Q22" s="340"/>
      <c r="R22" s="257"/>
    </row>
    <row r="23" spans="2:18">
      <c r="B23" s="184" t="s">
        <v>43</v>
      </c>
      <c r="C23" s="184" t="s">
        <v>43</v>
      </c>
      <c r="D23" s="184" t="s">
        <v>316</v>
      </c>
      <c r="E23" s="185">
        <v>0.5</v>
      </c>
      <c r="F23" s="184" t="s">
        <v>346</v>
      </c>
      <c r="G23" s="186">
        <v>2030</v>
      </c>
      <c r="H23" s="186" t="s">
        <v>221</v>
      </c>
      <c r="I23" s="246">
        <f t="shared" si="3"/>
        <v>1</v>
      </c>
      <c r="J23" s="247">
        <f t="shared" si="4"/>
        <v>0.64935064935064934</v>
      </c>
      <c r="K23" s="249">
        <v>1985190</v>
      </c>
      <c r="L23" s="215">
        <f t="shared" si="0"/>
        <v>0.64935064935064934</v>
      </c>
      <c r="M23" s="434">
        <f>_xlfn.XLOOKUP(B23,'Global sales'!$B$4:$B$23,'Global sales'!$I$4:$I$23)</f>
        <v>1985190</v>
      </c>
      <c r="N23" s="428" cm="1">
        <f t="array" ref="N23">SUM(IFERROR(($L$4:$L$38)*($K$4:$K$38)*($B$4:$B$38=$B23),0))/M23</f>
        <v>0.76989430605639042</v>
      </c>
      <c r="O23" s="426">
        <f>(N23-MIN($N$4:$N$38))/(MAX($N$4:$N$38)-MIN($N$4:$N$38))*100</f>
        <v>71.67943589814027</v>
      </c>
      <c r="P23" s="339" t="s">
        <v>233</v>
      </c>
      <c r="Q23" s="339" t="s">
        <v>377</v>
      </c>
      <c r="R23" s="257"/>
    </row>
    <row r="24" spans="2:18">
      <c r="B24" s="184" t="s">
        <v>43</v>
      </c>
      <c r="C24" s="184" t="s">
        <v>103</v>
      </c>
      <c r="D24" s="184" t="s">
        <v>316</v>
      </c>
      <c r="E24" s="185">
        <v>1</v>
      </c>
      <c r="F24" s="184" t="s">
        <v>346</v>
      </c>
      <c r="G24" s="186">
        <v>2035</v>
      </c>
      <c r="H24" s="186" t="s">
        <v>221</v>
      </c>
      <c r="I24" s="246">
        <f t="shared" si="3"/>
        <v>1</v>
      </c>
      <c r="J24" s="247">
        <f t="shared" si="4"/>
        <v>1.0309278350515465</v>
      </c>
      <c r="K24" s="249">
        <v>232123</v>
      </c>
      <c r="L24" s="215">
        <f t="shared" si="0"/>
        <v>1.0309278350515465</v>
      </c>
      <c r="M24" s="434"/>
      <c r="N24" s="428"/>
      <c r="O24" s="427"/>
      <c r="P24" s="341" t="s">
        <v>473</v>
      </c>
      <c r="Q24" s="342"/>
      <c r="R24" s="257"/>
    </row>
    <row r="25" spans="2:18">
      <c r="B25" s="184" t="s">
        <v>49</v>
      </c>
      <c r="C25" s="184" t="s">
        <v>353</v>
      </c>
      <c r="D25" s="184" t="s">
        <v>316</v>
      </c>
      <c r="E25" s="185">
        <v>1</v>
      </c>
      <c r="F25" s="184" t="s">
        <v>346</v>
      </c>
      <c r="G25" s="186">
        <v>2030</v>
      </c>
      <c r="H25" s="186" t="s">
        <v>221</v>
      </c>
      <c r="I25" s="246">
        <f t="shared" si="3"/>
        <v>1</v>
      </c>
      <c r="J25" s="247">
        <f t="shared" si="4"/>
        <v>1.2987012987012987</v>
      </c>
      <c r="K25" s="249">
        <v>499614</v>
      </c>
      <c r="L25" s="215">
        <f t="shared" si="0"/>
        <v>1.2987012987012987</v>
      </c>
      <c r="M25" s="434">
        <f>_xlfn.XLOOKUP(B25,'Global sales'!$B$4:$B$23,'Global sales'!$I$4:$I$23)</f>
        <v>1741224</v>
      </c>
      <c r="N25" s="428" cm="1">
        <f t="array" ref="N25">SUM(IFERROR(($L$4:$L$38)*($K$4:$K$38)*($B$4:$B$38=$B25),0))/M25</f>
        <v>0.76377955508482132</v>
      </c>
      <c r="O25" s="426">
        <f>(N25-MIN($N$4:$N$38))/(MAX($N$4:$N$38)-MIN($N$4:$N$38))*100</f>
        <v>71.110134505920882</v>
      </c>
      <c r="P25" s="339" t="s">
        <v>386</v>
      </c>
      <c r="Q25" s="339"/>
      <c r="R25" s="257"/>
    </row>
    <row r="26" spans="2:18">
      <c r="B26" s="184" t="s">
        <v>49</v>
      </c>
      <c r="C26" s="184" t="s">
        <v>241</v>
      </c>
      <c r="D26" s="184" t="s">
        <v>316</v>
      </c>
      <c r="E26" s="185">
        <v>0.4</v>
      </c>
      <c r="F26" s="184" t="s">
        <v>346</v>
      </c>
      <c r="G26" s="186">
        <v>2025</v>
      </c>
      <c r="H26" s="186" t="s">
        <v>350</v>
      </c>
      <c r="I26" s="246">
        <f t="shared" si="3"/>
        <v>0.75294404231982781</v>
      </c>
      <c r="J26" s="247">
        <f t="shared" si="4"/>
        <v>0.39113976224406644</v>
      </c>
      <c r="K26" s="249">
        <v>1741224</v>
      </c>
      <c r="L26" s="215">
        <f t="shared" si="0"/>
        <v>0.39113976224406644</v>
      </c>
      <c r="M26" s="434"/>
      <c r="N26" s="428"/>
      <c r="O26" s="427"/>
      <c r="P26" s="339" t="s">
        <v>387</v>
      </c>
      <c r="Q26" s="339" t="s">
        <v>388</v>
      </c>
      <c r="R26" s="257"/>
    </row>
    <row r="27" spans="2:18">
      <c r="B27" s="184" t="s">
        <v>16</v>
      </c>
      <c r="C27" s="184" t="s">
        <v>16</v>
      </c>
      <c r="D27" s="184" t="s">
        <v>77</v>
      </c>
      <c r="E27" s="185">
        <v>1</v>
      </c>
      <c r="F27" s="184" t="s">
        <v>346</v>
      </c>
      <c r="G27" s="186">
        <v>2025</v>
      </c>
      <c r="H27" s="186" t="s">
        <v>350</v>
      </c>
      <c r="I27" s="246">
        <f t="shared" si="3"/>
        <v>0.69561791887532476</v>
      </c>
      <c r="J27" s="247">
        <f t="shared" si="4"/>
        <v>0.90339989464327886</v>
      </c>
      <c r="K27" s="249">
        <v>1347407</v>
      </c>
      <c r="L27" s="215">
        <f t="shared" si="0"/>
        <v>0.90339989464327886</v>
      </c>
      <c r="M27" s="291">
        <f>_xlfn.XLOOKUP(B27,'Global sales'!$B$4:$B$23,'Global sales'!$I$4:$I$23)</f>
        <v>1348138</v>
      </c>
      <c r="N27" s="215">
        <f>MAX(N5:N26,N28:N38)*C46</f>
        <v>0.74714912055663041</v>
      </c>
      <c r="O27" s="297">
        <f>(N27-MIN($N$4:$N$38))/(MAX($N$4:$N$38)-MIN($N$4:$N$38))*100</f>
        <v>69.561791887532479</v>
      </c>
      <c r="P27" s="339" t="s">
        <v>381</v>
      </c>
      <c r="Q27" s="339"/>
      <c r="R27" s="257"/>
    </row>
    <row r="28" spans="2:18">
      <c r="B28" s="184" t="s">
        <v>222</v>
      </c>
      <c r="C28" s="184" t="s">
        <v>222</v>
      </c>
      <c r="D28" s="184" t="s">
        <v>316</v>
      </c>
      <c r="E28" s="185">
        <v>0.6</v>
      </c>
      <c r="F28" s="184" t="s">
        <v>346</v>
      </c>
      <c r="G28" s="186">
        <v>2030</v>
      </c>
      <c r="H28" s="186" t="s">
        <v>350</v>
      </c>
      <c r="I28" s="246">
        <f t="shared" si="3"/>
        <v>0.93584548755898045</v>
      </c>
      <c r="J28" s="247">
        <f t="shared" si="4"/>
        <v>0.72923025004595876</v>
      </c>
      <c r="K28" s="249">
        <v>1342916</v>
      </c>
      <c r="L28" s="215">
        <f t="shared" si="0"/>
        <v>0.72923025004595876</v>
      </c>
      <c r="M28" s="291">
        <f>_xlfn.XLOOKUP(B28,'Global sales'!$B$4:$B$23,'Global sales'!$I$4:$I$23)</f>
        <v>1342916</v>
      </c>
      <c r="N28" s="215" cm="1">
        <f t="array" ref="N28">SUM(IFERROR(($L$4:$L$38)*($K$4:$K$38)*($B$4:$B$38=$B28),0))/M28</f>
        <v>0.72923025004595876</v>
      </c>
      <c r="O28" s="297">
        <f>(N28-MIN($N$4:$N$38))/(MAX($N$4:$N$38)-MIN($N$4:$N$38))*100</f>
        <v>67.893492070229115</v>
      </c>
      <c r="P28" s="339" t="s">
        <v>378</v>
      </c>
      <c r="Q28" s="339"/>
      <c r="R28" s="257"/>
    </row>
    <row r="29" spans="2:18" ht="17" customHeight="1">
      <c r="B29" s="184" t="s">
        <v>55</v>
      </c>
      <c r="C29" s="184" t="s">
        <v>55</v>
      </c>
      <c r="D29" s="184" t="s">
        <v>316</v>
      </c>
      <c r="E29" s="185">
        <v>0.5</v>
      </c>
      <c r="F29" s="184" t="s">
        <v>346</v>
      </c>
      <c r="G29" s="186">
        <v>2030</v>
      </c>
      <c r="H29" s="186" t="s">
        <v>350</v>
      </c>
      <c r="I29" s="246">
        <f t="shared" si="3"/>
        <v>1</v>
      </c>
      <c r="J29" s="247">
        <f t="shared" si="4"/>
        <v>0.64935064935064934</v>
      </c>
      <c r="K29" s="249">
        <v>2292869</v>
      </c>
      <c r="L29" s="215">
        <f t="shared" si="0"/>
        <v>0.64935064935064934</v>
      </c>
      <c r="M29" s="291">
        <f>_xlfn.XLOOKUP(B29,'Global sales'!$B$4:$B$23,'Global sales'!$I$4:$I$23)</f>
        <v>2292869</v>
      </c>
      <c r="N29" s="215" cm="1">
        <f t="array" ref="N29">SUM(IFERROR(($L$4:$L$38)*($K$4:$K$38)*($B$4:$B$38=$B29),0))/M29</f>
        <v>0.64935064935064934</v>
      </c>
      <c r="O29" s="297">
        <f>(N29-MIN($N$4:$N$38))/(MAX($N$4:$N$38)-MIN($N$4:$N$38))*100</f>
        <v>60.456465100985511</v>
      </c>
      <c r="P29" s="339" t="s">
        <v>240</v>
      </c>
      <c r="Q29" s="339"/>
      <c r="R29" s="257"/>
    </row>
    <row r="30" spans="2:18">
      <c r="B30" s="184" t="s">
        <v>86</v>
      </c>
      <c r="C30" s="184" t="s">
        <v>62</v>
      </c>
      <c r="D30" s="184" t="s">
        <v>316</v>
      </c>
      <c r="E30" s="185">
        <v>0.3</v>
      </c>
      <c r="F30" s="184" t="s">
        <v>346</v>
      </c>
      <c r="G30" s="186">
        <v>2030</v>
      </c>
      <c r="H30" s="186" t="s">
        <v>221</v>
      </c>
      <c r="I30" s="246">
        <f t="shared" si="3"/>
        <v>1</v>
      </c>
      <c r="J30" s="247">
        <f t="shared" si="4"/>
        <v>0.38961038961038957</v>
      </c>
      <c r="K30" s="249">
        <v>718269</v>
      </c>
      <c r="L30" s="215">
        <f t="shared" si="0"/>
        <v>0.38961038961038957</v>
      </c>
      <c r="M30" s="434">
        <f>_xlfn.XLOOKUP(B30,'Global sales'!$B$4:$B$23,'Global sales'!$I$4:$I$23)</f>
        <v>958566</v>
      </c>
      <c r="N30" s="428" cm="1">
        <f t="array" ref="N30">SUM(IFERROR(($L$4:$L$38)*($K$4:$K$38)*($B$4:$B$38=$B30),0))/M30</f>
        <v>0.55738801210887501</v>
      </c>
      <c r="O30" s="426">
        <f>(N30-MIN($N$4:$N$38))/(MAX($N$4:$N$38)-MIN($N$4:$N$38))*100</f>
        <v>51.894471708722556</v>
      </c>
      <c r="P30" s="339" t="s">
        <v>389</v>
      </c>
      <c r="Q30" s="339"/>
      <c r="R30" s="257"/>
    </row>
    <row r="31" spans="2:18">
      <c r="B31" s="184" t="s">
        <v>86</v>
      </c>
      <c r="C31" s="184" t="s">
        <v>182</v>
      </c>
      <c r="D31" s="184" t="s">
        <v>349</v>
      </c>
      <c r="E31" s="185">
        <v>1</v>
      </c>
      <c r="F31" s="184" t="s">
        <v>346</v>
      </c>
      <c r="G31" s="186">
        <v>2025</v>
      </c>
      <c r="H31" s="186" t="s">
        <v>221</v>
      </c>
      <c r="I31" s="246">
        <f t="shared" si="3"/>
        <v>1</v>
      </c>
      <c r="J31" s="247">
        <f t="shared" si="4"/>
        <v>1.2987012987012987</v>
      </c>
      <c r="K31" s="249">
        <v>51173</v>
      </c>
      <c r="L31" s="215">
        <f t="shared" si="0"/>
        <v>1.2987012987012987</v>
      </c>
      <c r="M31" s="434"/>
      <c r="N31" s="428"/>
      <c r="O31" s="429"/>
      <c r="P31" s="339" t="s">
        <v>390</v>
      </c>
      <c r="Q31" s="339"/>
      <c r="R31" s="257"/>
    </row>
    <row r="32" spans="2:18">
      <c r="B32" s="184" t="s">
        <v>86</v>
      </c>
      <c r="C32" s="184" t="s">
        <v>183</v>
      </c>
      <c r="D32" s="184" t="s">
        <v>349</v>
      </c>
      <c r="E32" s="185">
        <v>1</v>
      </c>
      <c r="F32" s="184" t="s">
        <v>346</v>
      </c>
      <c r="G32" s="186">
        <v>2035</v>
      </c>
      <c r="H32" s="186" t="s">
        <v>221</v>
      </c>
      <c r="I32" s="246">
        <f t="shared" si="3"/>
        <v>1</v>
      </c>
      <c r="J32" s="247">
        <f t="shared" si="4"/>
        <v>1.0309278350515465</v>
      </c>
      <c r="K32" s="249">
        <v>182350</v>
      </c>
      <c r="L32" s="215">
        <f t="shared" si="0"/>
        <v>1.0309278350515465</v>
      </c>
      <c r="M32" s="434"/>
      <c r="N32" s="428"/>
      <c r="O32" s="427"/>
      <c r="P32" s="339" t="s">
        <v>247</v>
      </c>
      <c r="Q32" s="339" t="s">
        <v>226</v>
      </c>
      <c r="R32" s="257"/>
    </row>
    <row r="33" spans="2:18">
      <c r="B33" s="184" t="s">
        <v>84</v>
      </c>
      <c r="C33" s="184" t="s">
        <v>354</v>
      </c>
      <c r="D33" s="184" t="s">
        <v>316</v>
      </c>
      <c r="E33" s="185">
        <v>0.36</v>
      </c>
      <c r="F33" s="184" t="s">
        <v>346</v>
      </c>
      <c r="G33" s="186">
        <v>2030</v>
      </c>
      <c r="H33" s="186" t="s">
        <v>221</v>
      </c>
      <c r="I33" s="246">
        <f t="shared" si="3"/>
        <v>1</v>
      </c>
      <c r="J33" s="247">
        <f t="shared" si="4"/>
        <v>0.46753246753246752</v>
      </c>
      <c r="K33" s="249">
        <v>2578949</v>
      </c>
      <c r="L33" s="215">
        <f t="shared" si="0"/>
        <v>0.46753246753246752</v>
      </c>
      <c r="M33" s="434">
        <f>_xlfn.XLOOKUP(B33,'Global sales'!$B$4:$B$23,'Global sales'!$I$4:$I$23)</f>
        <v>4880257</v>
      </c>
      <c r="N33" s="428" cm="1">
        <f t="array" ref="N33">SUM(IFERROR(($L$4:$L$38)*($K$4:$K$38)*($B$4:$B$38=$B33),0))/M33</f>
        <v>0.4154641323724837</v>
      </c>
      <c r="O33" s="426">
        <f>(N33-MIN($N$4:$N$38))/(MAX($N$4:$N$38)-MIN($N$4:$N$38))*100</f>
        <v>38.680938942011963</v>
      </c>
      <c r="P33" s="339" t="s">
        <v>245</v>
      </c>
      <c r="Q33" s="341" t="s">
        <v>491</v>
      </c>
      <c r="R33" s="257"/>
    </row>
    <row r="34" spans="2:18">
      <c r="B34" s="184" t="s">
        <v>84</v>
      </c>
      <c r="C34" s="184" t="s">
        <v>355</v>
      </c>
      <c r="D34" s="184" t="s">
        <v>316</v>
      </c>
      <c r="E34" s="185">
        <v>0.3</v>
      </c>
      <c r="F34" s="184" t="s">
        <v>346</v>
      </c>
      <c r="G34" s="186">
        <v>2030</v>
      </c>
      <c r="H34" s="186" t="s">
        <v>221</v>
      </c>
      <c r="I34" s="246">
        <f t="shared" si="3"/>
        <v>1</v>
      </c>
      <c r="J34" s="247">
        <f t="shared" si="4"/>
        <v>0.38961038961038957</v>
      </c>
      <c r="K34" s="249">
        <v>2109362</v>
      </c>
      <c r="L34" s="215">
        <f t="shared" si="0"/>
        <v>0.38961038961038957</v>
      </c>
      <c r="M34" s="434"/>
      <c r="N34" s="428"/>
      <c r="O34" s="427"/>
      <c r="P34" s="339" t="s">
        <v>384</v>
      </c>
      <c r="Q34" s="339" t="s">
        <v>385</v>
      </c>
      <c r="R34" s="257"/>
    </row>
    <row r="35" spans="2:18" ht="17" customHeight="1">
      <c r="B35" s="184" t="s">
        <v>15</v>
      </c>
      <c r="C35" s="184" t="s">
        <v>15</v>
      </c>
      <c r="D35" s="184" t="s">
        <v>316</v>
      </c>
      <c r="E35" s="185">
        <v>0.32</v>
      </c>
      <c r="F35" s="184" t="s">
        <v>346</v>
      </c>
      <c r="G35" s="186">
        <v>2030</v>
      </c>
      <c r="H35" s="186" t="s">
        <v>221</v>
      </c>
      <c r="I35" s="246">
        <f t="shared" si="3"/>
        <v>1</v>
      </c>
      <c r="J35" s="247">
        <f t="shared" si="4"/>
        <v>0.41558441558441556</v>
      </c>
      <c r="K35" s="249">
        <v>6865625</v>
      </c>
      <c r="L35" s="215">
        <f t="shared" si="0"/>
        <v>0.41558441558441556</v>
      </c>
      <c r="M35" s="291">
        <f>_xlfn.XLOOKUP(B35,'Global sales'!$B$4:$B$23,'Global sales'!$I$4:$I$23)</f>
        <v>6865625</v>
      </c>
      <c r="N35" s="215" cm="1">
        <f t="array" ref="N35">SUM(IFERROR(($L$4:$L$38)*($K$4:$K$38)*($B$4:$B$38=$B35),0))/M35</f>
        <v>0.41558441558441556</v>
      </c>
      <c r="O35" s="297">
        <f>(N35-MIN($N$4:$N$38))/(MAX($N$4:$N$38)-MIN($N$4:$N$38))*100</f>
        <v>38.692137664630728</v>
      </c>
      <c r="P35" s="339" t="s">
        <v>220</v>
      </c>
      <c r="Q35" s="339" t="s">
        <v>374</v>
      </c>
      <c r="R35" s="257"/>
    </row>
    <row r="36" spans="2:18">
      <c r="B36" s="184" t="s">
        <v>45</v>
      </c>
      <c r="C36" s="184" t="s">
        <v>45</v>
      </c>
      <c r="D36" s="184" t="s">
        <v>316</v>
      </c>
      <c r="E36" s="185">
        <v>0.32</v>
      </c>
      <c r="F36" s="184" t="s">
        <v>346</v>
      </c>
      <c r="G36" s="186">
        <v>2025</v>
      </c>
      <c r="H36" s="186" t="s">
        <v>350</v>
      </c>
      <c r="I36" s="246">
        <f t="shared" si="3"/>
        <v>0.94821173905230915</v>
      </c>
      <c r="J36" s="247">
        <f t="shared" si="4"/>
        <v>0.39406202142433627</v>
      </c>
      <c r="K36" s="249">
        <v>1692251</v>
      </c>
      <c r="L36" s="215">
        <f t="shared" si="0"/>
        <v>0.39406202142433627</v>
      </c>
      <c r="M36" s="291">
        <f>_xlfn.XLOOKUP(B36,'Global sales'!$B$4:$B$23,'Global sales'!$I$4:$I$23)</f>
        <v>1692251</v>
      </c>
      <c r="N36" s="215" cm="1">
        <f t="array" ref="N36">SUM(IFERROR(($L$4:$L$38)*($K$4:$K$38)*($B$4:$B$38=$B36),0))/M36</f>
        <v>0.39406202142433627</v>
      </c>
      <c r="O36" s="297">
        <f>(N36-MIN($N$4:$N$38))/(MAX($N$4:$N$38)-MIN($N$4:$N$38))*100</f>
        <v>36.688339142630852</v>
      </c>
      <c r="P36" s="339" t="s">
        <v>376</v>
      </c>
      <c r="Q36" s="339"/>
      <c r="R36" s="257"/>
    </row>
    <row r="37" spans="2:18">
      <c r="B37" s="184" t="s">
        <v>63</v>
      </c>
      <c r="C37" s="184" t="s">
        <v>63</v>
      </c>
      <c r="D37" s="184" t="s">
        <v>316</v>
      </c>
      <c r="E37" s="185">
        <v>0.25</v>
      </c>
      <c r="F37" s="184" t="s">
        <v>346</v>
      </c>
      <c r="G37" s="186">
        <v>2030</v>
      </c>
      <c r="H37" s="186" t="s">
        <v>221</v>
      </c>
      <c r="I37" s="246">
        <f t="shared" si="3"/>
        <v>1</v>
      </c>
      <c r="J37" s="247">
        <f t="shared" si="4"/>
        <v>0.32467532467532467</v>
      </c>
      <c r="K37" s="249">
        <v>668438</v>
      </c>
      <c r="L37" s="215">
        <f t="shared" si="0"/>
        <v>0.32467532467532467</v>
      </c>
      <c r="M37" s="291">
        <f>_xlfn.XLOOKUP(B37,'Global sales'!$B$4:$B$23,'Global sales'!$I$4:$I$23)</f>
        <v>668438</v>
      </c>
      <c r="N37" s="215" cm="1">
        <f t="array" ref="N37">SUM(IFERROR(($L$4:$L$38)*($K$4:$K$38)*($B$4:$B$38=$B37),0))/M37</f>
        <v>0.32467532467532467</v>
      </c>
      <c r="O37" s="297">
        <f>(N37-MIN($N$4:$N$38))/(MAX($N$4:$N$38)-MIN($N$4:$N$38))*100</f>
        <v>30.228232550492756</v>
      </c>
      <c r="P37" s="339" t="s">
        <v>380</v>
      </c>
      <c r="Q37" s="339"/>
      <c r="R37" s="257"/>
    </row>
    <row r="38" spans="2:18">
      <c r="B38" s="184" t="s">
        <v>57</v>
      </c>
      <c r="C38" s="184" t="s">
        <v>57</v>
      </c>
      <c r="D38" s="184" t="s">
        <v>348</v>
      </c>
      <c r="E38" s="186" t="s">
        <v>348</v>
      </c>
      <c r="F38" s="184" t="s">
        <v>348</v>
      </c>
      <c r="G38" s="186" t="s">
        <v>348</v>
      </c>
      <c r="H38" s="186" t="s">
        <v>348</v>
      </c>
      <c r="I38" s="246" t="s">
        <v>360</v>
      </c>
      <c r="J38" s="247" t="s">
        <v>360</v>
      </c>
      <c r="K38" s="249" t="s">
        <v>360</v>
      </c>
      <c r="L38" s="215" t="str">
        <f t="shared" si="0"/>
        <v>/</v>
      </c>
      <c r="M38" s="291">
        <f>_xlfn.XLOOKUP(B38,'Global sales'!$B$4:$B$23,'Global sales'!$I$4:$I$23)</f>
        <v>2358740</v>
      </c>
      <c r="N38" s="215" cm="1">
        <f t="array" ref="N38">SUM(IFERROR(($L$4:$L$38)*($K$4:$K$38)*($B$4:$B$38=$B38),0))/M38</f>
        <v>0</v>
      </c>
      <c r="O38" s="297">
        <f>(N38-MIN($N$4:$N$38))/(MAX($N$4:$N$38)-MIN($N$4:$N$38))*100</f>
        <v>0</v>
      </c>
      <c r="P38" s="337" t="s">
        <v>64</v>
      </c>
      <c r="Q38" s="340"/>
      <c r="R38" s="257"/>
    </row>
    <row r="39" spans="2:18" ht="10" customHeight="1">
      <c r="B39" s="303" t="s">
        <v>490</v>
      </c>
      <c r="L39" s="51"/>
      <c r="M39" s="51"/>
      <c r="N39" s="23"/>
      <c r="O39" s="13"/>
      <c r="P39" s="32"/>
      <c r="Q39" s="6"/>
    </row>
    <row r="40" spans="2:18" ht="10" customHeight="1">
      <c r="B40" s="303" t="s">
        <v>492</v>
      </c>
      <c r="H40" s="20"/>
      <c r="J40" s="51"/>
      <c r="K40" s="23"/>
      <c r="L40" s="92"/>
      <c r="M40" s="92"/>
    </row>
    <row r="41" spans="2:18" ht="10" customHeight="1">
      <c r="B41" s="303" t="s">
        <v>493</v>
      </c>
      <c r="H41" s="20"/>
      <c r="I41" s="91"/>
      <c r="J41" s="53"/>
      <c r="K41" s="23"/>
      <c r="L41" s="43"/>
      <c r="M41" s="43"/>
    </row>
    <row r="42" spans="2:18">
      <c r="G42" s="39"/>
      <c r="H42" s="23"/>
      <c r="I42" s="41"/>
      <c r="J42" s="52"/>
    </row>
    <row r="43" spans="2:18" ht="12" customHeight="1">
      <c r="B43" s="423" t="s">
        <v>235</v>
      </c>
      <c r="C43" s="423"/>
      <c r="F43" s="182"/>
      <c r="I43" s="41"/>
      <c r="J43" s="91"/>
    </row>
    <row r="44" spans="2:18" ht="12" customHeight="1">
      <c r="B44" s="260" t="s">
        <v>219</v>
      </c>
      <c r="C44" s="261">
        <v>1</v>
      </c>
    </row>
    <row r="45" spans="2:18" ht="12" customHeight="1">
      <c r="B45" s="260" t="s">
        <v>433</v>
      </c>
      <c r="C45" s="261"/>
    </row>
    <row r="46" spans="2:18" ht="12" customHeight="1">
      <c r="B46" s="260" t="s">
        <v>236</v>
      </c>
      <c r="C46" s="262" cm="1">
        <f t="array" ref="C46">(_xlfn.XLOOKUP(B46,'ZEV market share'!$B$4:$B$23,'ZEV market share'!I$4:$I$23)+_xlfn.XLOOKUP(B46,'ZEV market share'!$B$4:$B$23,'ZEV market share'!K$4:$K$23))/((_xlfn.XLOOKUP(B46,'ZEV market share'!$B$4:$B$23,'ZEV market share'!I$4:$I$23)+_xlfn.XLOOKUP(B46,'ZEV market share'!$B$4:$B$23,'ZEV market share'!J$4:$J$23)))</f>
        <v>0.69561791887532476</v>
      </c>
    </row>
    <row r="47" spans="2:18" ht="12" customHeight="1">
      <c r="B47" s="261" t="s">
        <v>222</v>
      </c>
      <c r="C47" s="262" cm="1">
        <f t="array" ref="C47">(_xlfn.XLOOKUP(B47,'ZEV market share'!$B$4:$B$23,'ZEV market share'!I$4:$I$23)+_xlfn.XLOOKUP(B47,'ZEV market share'!$B$4:$B$23,'ZEV market share'!K$4:$K$23))/((_xlfn.XLOOKUP(B47,'ZEV market share'!$B$4:$B$23,'ZEV market share'!I$4:$I$23)+_xlfn.XLOOKUP(B47,'ZEV market share'!$B$4:$B$23,'ZEV market share'!J$4:$J$23)))</f>
        <v>0.93584548755898045</v>
      </c>
    </row>
    <row r="48" spans="2:18" ht="12" customHeight="1">
      <c r="B48" s="261" t="s">
        <v>87</v>
      </c>
      <c r="C48" s="262" cm="1">
        <f t="array" ref="C48">(_xlfn.XLOOKUP(B48,'ZEV market share'!$B$4:$B$23,'ZEV market share'!I$4:$I$23)+_xlfn.XLOOKUP(B48,'ZEV market share'!$B$4:$B$23,'ZEV market share'!K$4:$K$23))/((_xlfn.XLOOKUP(B48,'ZEV market share'!$B$4:$B$23,'ZEV market share'!I$4:$I$23)+_xlfn.XLOOKUP(B48,'ZEV market share'!$B$4:$B$23,'ZEV market share'!J$4:$J$23)))</f>
        <v>0.95094096146701679</v>
      </c>
    </row>
    <row r="49" spans="2:14" ht="12" customHeight="1">
      <c r="B49" s="261" t="s">
        <v>230</v>
      </c>
      <c r="C49" s="262" cm="1">
        <f t="array" ref="C49">(_xlfn.XLOOKUP(B49,'ZEV market share'!$B$4:$B$23,'ZEV market share'!I$4:$I$23)+_xlfn.XLOOKUP(B49,'ZEV market share'!$B$4:$B$23,'ZEV market share'!K$4:$K$23))/((_xlfn.XLOOKUP(B49,'ZEV market share'!$B$4:$B$23,'ZEV market share'!I$4:$I$23)+_xlfn.XLOOKUP(B49,'ZEV market share'!$B$4:$B$23,'ZEV market share'!J$4:$J$23)))</f>
        <v>0.94821173905230915</v>
      </c>
    </row>
    <row r="50" spans="2:14" ht="12" customHeight="1">
      <c r="B50" s="260" t="s">
        <v>241</v>
      </c>
      <c r="C50" s="262" cm="1">
        <f t="array" ref="C50">(_xlfn.XLOOKUP(B50,'ZEV market share'!$B$4:$B$23,'ZEV market share'!I$4:$I$23)+_xlfn.XLOOKUP(B50,'ZEV market share'!$B$4:$B$23,'ZEV market share'!K$4:$K$23))/((_xlfn.XLOOKUP(B50,'ZEV market share'!$B$4:$B$23,'ZEV market share'!I$4:$I$23)+_xlfn.XLOOKUP(B50,'ZEV market share'!$B$4:$B$23,'ZEV market share'!J$4:$J$23)))</f>
        <v>0.75294404231982781</v>
      </c>
    </row>
    <row r="51" spans="2:14" ht="12" customHeight="1">
      <c r="B51" s="260" t="s">
        <v>243</v>
      </c>
      <c r="C51" s="262" cm="1">
        <f t="array" ref="C51">(_xlfn.XLOOKUP(B51,'ZEV market share'!$B$4:$B$23,'ZEV market share'!I$4:$I$23)+_xlfn.XLOOKUP(B51,'ZEV market share'!$B$4:$B$23,'ZEV market share'!K$4:$K$23))/((_xlfn.XLOOKUP(B51,'ZEV market share'!$B$4:$B$23,'ZEV market share'!I$4:$I$23)+_xlfn.XLOOKUP(B51,'ZEV market share'!$B$4:$B$23,'ZEV market share'!J$4:$J$23)))</f>
        <v>1</v>
      </c>
    </row>
    <row r="52" spans="2:14" ht="12" customHeight="1">
      <c r="B52" s="257"/>
      <c r="C52" s="263"/>
    </row>
    <row r="53" spans="2:14" ht="12" customHeight="1">
      <c r="B53" s="424" t="s">
        <v>340</v>
      </c>
      <c r="C53" s="425"/>
    </row>
    <row r="54" spans="2:14" ht="12" customHeight="1">
      <c r="B54" s="258">
        <v>2025</v>
      </c>
      <c r="C54" s="264">
        <f>C55</f>
        <v>0.77</v>
      </c>
    </row>
    <row r="55" spans="2:14" ht="12" customHeight="1">
      <c r="B55" s="258">
        <v>2030</v>
      </c>
      <c r="C55" s="264">
        <v>0.77</v>
      </c>
    </row>
    <row r="56" spans="2:14" ht="12" customHeight="1">
      <c r="B56" s="258">
        <v>2035</v>
      </c>
      <c r="C56" s="264">
        <v>0.97</v>
      </c>
    </row>
    <row r="57" spans="2:14">
      <c r="M57" s="181"/>
      <c r="N57" s="181"/>
    </row>
    <row r="58" spans="2:14">
      <c r="M58" s="181"/>
      <c r="N58" s="181"/>
    </row>
    <row r="59" spans="2:14">
      <c r="L59" s="181"/>
      <c r="M59" s="181"/>
      <c r="N59" s="181"/>
    </row>
    <row r="60" spans="2:14">
      <c r="L60" s="181"/>
      <c r="M60" s="181"/>
      <c r="N60" s="181"/>
    </row>
    <row r="61" spans="2:14">
      <c r="L61" s="181"/>
      <c r="M61" s="181"/>
      <c r="N61" s="181"/>
    </row>
    <row r="62" spans="2:14">
      <c r="L62" s="181"/>
      <c r="M62" s="181"/>
      <c r="N62" s="181"/>
    </row>
    <row r="63" spans="2:14">
      <c r="L63" s="181"/>
      <c r="M63" s="181"/>
      <c r="N63" s="181"/>
    </row>
    <row r="64" spans="2:14">
      <c r="L64" s="181"/>
      <c r="M64" s="181"/>
      <c r="N64" s="181"/>
    </row>
    <row r="65" spans="12:14">
      <c r="L65" s="181"/>
      <c r="M65" s="181"/>
      <c r="N65" s="181"/>
    </row>
    <row r="66" spans="12:14">
      <c r="L66" s="181"/>
      <c r="M66" s="181"/>
      <c r="N66" s="181"/>
    </row>
    <row r="67" spans="12:14">
      <c r="L67" s="181"/>
      <c r="M67" s="181"/>
      <c r="N67" s="181"/>
    </row>
    <row r="68" spans="12:14">
      <c r="L68" s="181"/>
      <c r="M68" s="181"/>
      <c r="N68" s="181"/>
    </row>
    <row r="69" spans="12:14">
      <c r="L69" s="181"/>
      <c r="M69" s="181"/>
      <c r="N69" s="181"/>
    </row>
    <row r="70" spans="12:14">
      <c r="L70" s="181"/>
      <c r="M70" s="181"/>
      <c r="N70" s="181"/>
    </row>
    <row r="71" spans="12:14">
      <c r="L71" s="181"/>
      <c r="M71" s="181"/>
      <c r="N71" s="181"/>
    </row>
    <row r="72" spans="12:14">
      <c r="L72" s="181"/>
      <c r="M72" s="181"/>
      <c r="N72" s="181"/>
    </row>
    <row r="73" spans="12:14">
      <c r="L73" s="181"/>
      <c r="M73" s="181"/>
      <c r="N73" s="181"/>
    </row>
    <row r="74" spans="12:14">
      <c r="L74" s="181"/>
      <c r="M74" s="181"/>
      <c r="N74" s="181"/>
    </row>
    <row r="75" spans="12:14">
      <c r="L75" s="181"/>
      <c r="M75" s="181"/>
      <c r="N75" s="181"/>
    </row>
    <row r="76" spans="12:14">
      <c r="L76" s="181"/>
      <c r="M76" s="181"/>
      <c r="N76" s="181"/>
    </row>
    <row r="77" spans="12:14">
      <c r="L77" s="181"/>
      <c r="M77" s="181"/>
      <c r="N77" s="181"/>
    </row>
    <row r="78" spans="12:14">
      <c r="L78" s="181"/>
      <c r="M78" s="181"/>
      <c r="N78" s="181"/>
    </row>
    <row r="79" spans="12:14">
      <c r="L79" s="181"/>
      <c r="M79" s="181"/>
      <c r="N79" s="181"/>
    </row>
    <row r="80" spans="12:14">
      <c r="L80" s="181"/>
      <c r="M80" s="181"/>
      <c r="N80" s="181"/>
    </row>
    <row r="81" spans="12:14">
      <c r="L81" s="181"/>
      <c r="M81" s="181"/>
      <c r="N81" s="181"/>
    </row>
    <row r="82" spans="12:14">
      <c r="L82" s="181"/>
      <c r="M82" s="181"/>
      <c r="N82" s="181"/>
    </row>
    <row r="83" spans="12:14">
      <c r="L83" s="181"/>
      <c r="M83" s="181"/>
      <c r="N83" s="181"/>
    </row>
    <row r="84" spans="12:14">
      <c r="L84" s="181"/>
      <c r="M84" s="181"/>
      <c r="N84" s="181"/>
    </row>
    <row r="85" spans="12:14">
      <c r="L85" s="181"/>
      <c r="M85" s="181"/>
      <c r="N85" s="181"/>
    </row>
    <row r="86" spans="12:14">
      <c r="L86" s="181"/>
      <c r="M86" s="181"/>
      <c r="N86" s="181"/>
    </row>
    <row r="87" spans="12:14">
      <c r="L87" s="181"/>
      <c r="M87" s="181"/>
      <c r="N87" s="181"/>
    </row>
    <row r="88" spans="12:14">
      <c r="L88" s="181"/>
      <c r="M88" s="181"/>
      <c r="N88" s="181"/>
    </row>
    <row r="89" spans="12:14">
      <c r="L89" s="181"/>
      <c r="M89" s="181"/>
      <c r="N89" s="181"/>
    </row>
    <row r="90" spans="12:14">
      <c r="L90" s="181"/>
      <c r="M90" s="181"/>
      <c r="N90" s="181"/>
    </row>
    <row r="91" spans="12:14">
      <c r="L91" s="181"/>
    </row>
    <row r="92" spans="12:14">
      <c r="L92" s="181"/>
    </row>
  </sheetData>
  <sheetProtection algorithmName="SHA-512" hashValue="+p4COYQh16FwI3/u4CibdgBIkBMelrXH1CTaFa176dQr1czGvKP3YVt727ZJpzdWnRRqJYoVuKTQKaQXbQOcyQ==" saltValue="0fWfy3wsZw77U5TnEhdQNA==" spinCount="100000" sheet="1" objects="1" scenarios="1" selectLockedCells="1" selectUnlockedCells="1"/>
  <mergeCells count="34">
    <mergeCell ref="O5:O7"/>
    <mergeCell ref="N5:N7"/>
    <mergeCell ref="P2:Q3"/>
    <mergeCell ref="I2:K2"/>
    <mergeCell ref="N2:N3"/>
    <mergeCell ref="M2:M3"/>
    <mergeCell ref="M5:M7"/>
    <mergeCell ref="B2:B3"/>
    <mergeCell ref="C2:C3"/>
    <mergeCell ref="D2:H2"/>
    <mergeCell ref="O2:O3"/>
    <mergeCell ref="L2:L3"/>
    <mergeCell ref="C12:C14"/>
    <mergeCell ref="O12:O19"/>
    <mergeCell ref="N12:N19"/>
    <mergeCell ref="M23:M24"/>
    <mergeCell ref="O33:O34"/>
    <mergeCell ref="N33:N34"/>
    <mergeCell ref="C20:C21"/>
    <mergeCell ref="O20:O21"/>
    <mergeCell ref="N20:N21"/>
    <mergeCell ref="M25:M26"/>
    <mergeCell ref="M30:M32"/>
    <mergeCell ref="M33:M34"/>
    <mergeCell ref="M12:M19"/>
    <mergeCell ref="M20:M21"/>
    <mergeCell ref="O23:O24"/>
    <mergeCell ref="N23:N24"/>
    <mergeCell ref="B43:C43"/>
    <mergeCell ref="B53:C53"/>
    <mergeCell ref="O25:O26"/>
    <mergeCell ref="N25:N26"/>
    <mergeCell ref="O30:O32"/>
    <mergeCell ref="N30:N32"/>
  </mergeCells>
  <phoneticPr fontId="3" type="noConversion"/>
  <conditionalFormatting sqref="O4:O5 O8:O12 O20 O22:O23 O25 O27:O30 O33 O35:O38">
    <cfRule type="colorScale" priority="1">
      <colorScale>
        <cfvo type="min"/>
        <cfvo type="percentile" val="50"/>
        <cfvo type="max"/>
        <color theme="0"/>
        <color theme="5" tint="0.59999389629810485"/>
        <color theme="5"/>
      </colorScale>
    </cfRule>
  </conditionalFormatting>
  <hyperlinks>
    <hyperlink ref="P24" r:id="rId1" xr:uid="{78C8A2CF-92BB-FE41-A441-5BBDC7618E68}"/>
    <hyperlink ref="Q33" r:id="rId2" xr:uid="{4552EAD3-B36A-E44D-A073-ED0F68A094E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04C91-6505-C845-AB9A-10C83E457AB7}">
  <sheetPr>
    <tabColor theme="8" tint="0.39997558519241921"/>
  </sheetPr>
  <dimension ref="B2:U1048275"/>
  <sheetViews>
    <sheetView zoomScaleNormal="100" workbookViewId="0">
      <selection activeCell="M22" sqref="M22"/>
    </sheetView>
  </sheetViews>
  <sheetFormatPr baseColWidth="10" defaultColWidth="10.83203125" defaultRowHeight="15"/>
  <cols>
    <col min="1" max="1" width="3.33203125" style="34" customWidth="1"/>
    <col min="2" max="2" width="13.5" style="34" customWidth="1"/>
    <col min="3" max="3" width="16.1640625" style="34" customWidth="1"/>
    <col min="4" max="4" width="13.6640625" style="34" customWidth="1"/>
    <col min="5" max="5" width="17" style="34" customWidth="1"/>
    <col min="6" max="6" width="16" style="34" customWidth="1"/>
    <col min="7" max="7" width="15" style="34" customWidth="1"/>
    <col min="8" max="8" width="15.6640625" style="34" customWidth="1"/>
    <col min="9" max="9" width="15.1640625" style="34" customWidth="1"/>
    <col min="10" max="10" width="14.33203125" style="34" customWidth="1"/>
    <col min="11" max="11" width="17.1640625" style="34" customWidth="1"/>
    <col min="12" max="12" width="17" style="34" customWidth="1"/>
    <col min="13" max="13" width="14.33203125" style="34" customWidth="1"/>
    <col min="14" max="14" width="13" style="34" customWidth="1"/>
    <col min="15" max="15" width="12" style="34" customWidth="1"/>
    <col min="16" max="16" width="10.83203125" style="34"/>
    <col min="17" max="17" width="13" style="34" customWidth="1"/>
    <col min="18" max="18" width="10.83203125" style="34"/>
    <col min="19" max="19" width="12" style="34" bestFit="1" customWidth="1"/>
    <col min="20" max="16384" width="10.83203125" style="34"/>
  </cols>
  <sheetData>
    <row r="2" spans="2:21" s="35" customFormat="1" ht="100" customHeight="1">
      <c r="B2" s="60" t="s">
        <v>8</v>
      </c>
      <c r="C2" s="60" t="s">
        <v>249</v>
      </c>
      <c r="D2" s="60" t="s">
        <v>235</v>
      </c>
      <c r="E2" s="60" t="s">
        <v>362</v>
      </c>
      <c r="F2" s="60" t="s">
        <v>435</v>
      </c>
      <c r="G2" s="60" t="s">
        <v>436</v>
      </c>
      <c r="H2" s="60" t="s">
        <v>437</v>
      </c>
      <c r="I2" s="60" t="s">
        <v>363</v>
      </c>
      <c r="J2" s="60" t="s">
        <v>364</v>
      </c>
      <c r="K2" s="287" t="s">
        <v>210</v>
      </c>
      <c r="L2" s="40"/>
      <c r="M2" s="187"/>
      <c r="N2" s="188"/>
      <c r="O2" s="189"/>
      <c r="P2" s="189"/>
      <c r="Q2" s="189"/>
      <c r="R2" s="189"/>
      <c r="S2" s="189"/>
      <c r="T2" s="189"/>
    </row>
    <row r="3" spans="2:21" ht="16">
      <c r="B3" s="36" t="s">
        <v>17</v>
      </c>
      <c r="C3" s="203">
        <v>35065475111.642365</v>
      </c>
      <c r="D3" s="200" cm="1">
        <f t="array" ref="D3">(_xlfn.XLOOKUP(B3,'ZEV market share'!$B$4:$B$23,'ZEV market share'!I$4:$I$23)+_xlfn.XLOOKUP(B3,'ZEV market share'!$B$4:$B$23,'ZEV market share'!K$4:$K$23))/((_xlfn.XLOOKUP(B3,'ZEV market share'!$B$4:$B$23,'ZEV market share'!I$4:$I$23)+_xlfn.XLOOKUP(B3,'ZEV market share'!$B$4:$B$23,'ZEV market share'!J$4:$J$23)))</f>
        <v>1</v>
      </c>
      <c r="E3" s="201">
        <f t="shared" ref="E3:E22" si="0">C3*D3</f>
        <v>35065475111.642365</v>
      </c>
      <c r="F3" s="201">
        <f>_xlfn.XLOOKUP(B3,'Global sales'!$B$4:$B$23,'Global sales'!$I$4:$I$23)</f>
        <v>1197376</v>
      </c>
      <c r="G3" s="201">
        <f t="shared" ref="G3:G22" si="1">E3/(10*(F3))</f>
        <v>2928.526637550975</v>
      </c>
      <c r="H3" s="202"/>
      <c r="I3" s="288" t="str">
        <f t="shared" ref="I3:I22" si="2">IF(H3="","",H3/(10*F3))</f>
        <v/>
      </c>
      <c r="J3" s="289" t="str">
        <f t="shared" ref="J3:J22" si="3">IF(H3="","",I3/G3)</f>
        <v/>
      </c>
      <c r="K3" s="290">
        <f>(G3-MIN($G$3:$G$22))/(MAX($G$3:$G$22)-MIN($G$3:$G$22))*100</f>
        <v>100</v>
      </c>
      <c r="N3" s="190"/>
      <c r="O3" s="191"/>
      <c r="P3" s="191"/>
      <c r="Q3" s="191"/>
      <c r="R3" s="191"/>
      <c r="S3" s="192"/>
      <c r="U3" s="175"/>
    </row>
    <row r="4" spans="2:21" ht="16">
      <c r="B4" s="36" t="s">
        <v>45</v>
      </c>
      <c r="C4" s="203">
        <v>42192995500.326317</v>
      </c>
      <c r="D4" s="200" cm="1">
        <f t="array" ref="D4">(_xlfn.XLOOKUP(B4,'ZEV market share'!$B$4:$B$23,'ZEV market share'!I$4:$I$23)+_xlfn.XLOOKUP(B4,'ZEV market share'!$B$4:$B$23,'ZEV market share'!K$4:$K$23))/((_xlfn.XLOOKUP(B4,'ZEV market share'!$B$4:$B$23,'ZEV market share'!I$4:$I$23)+_xlfn.XLOOKUP(B4,'ZEV market share'!$B$4:$B$23,'ZEV market share'!J$4:$J$23)))</f>
        <v>0.94821173905230915</v>
      </c>
      <c r="E4" s="201">
        <f t="shared" si="0"/>
        <v>40007893639.190674</v>
      </c>
      <c r="F4" s="201">
        <f>_xlfn.XLOOKUP(B4,'Global sales'!$B$4:$B$23,'Global sales'!$I$4:$I$23)</f>
        <v>1692251</v>
      </c>
      <c r="G4" s="201">
        <f t="shared" si="1"/>
        <v>2364.1820060493787</v>
      </c>
      <c r="H4" s="202"/>
      <c r="I4" s="288" t="str">
        <f t="shared" si="2"/>
        <v/>
      </c>
      <c r="J4" s="289" t="str">
        <f t="shared" si="3"/>
        <v/>
      </c>
      <c r="K4" s="290">
        <f t="shared" ref="K4:K22" si="4">(G4-MIN($G$3:$G$22))/(MAX($G$3:$G$22)-MIN($G$3:$G$22))*100</f>
        <v>80.643913850354949</v>
      </c>
      <c r="N4" s="190"/>
      <c r="O4" s="191"/>
      <c r="P4" s="191"/>
      <c r="Q4" s="191"/>
      <c r="R4" s="191"/>
      <c r="S4" s="192"/>
      <c r="U4" s="176"/>
    </row>
    <row r="5" spans="2:21" ht="16">
      <c r="B5" s="36" t="s">
        <v>16</v>
      </c>
      <c r="C5" s="203">
        <f>(59550120984.3181)*0.75</f>
        <v>44662590738.238571</v>
      </c>
      <c r="D5" s="200" cm="1">
        <f t="array" ref="D5">(_xlfn.XLOOKUP(B5,'ZEV market share'!$B$4:$B$23,'ZEV market share'!I$4:$I$23)+_xlfn.XLOOKUP(B5,'ZEV market share'!$B$4:$B$23,'ZEV market share'!K$4:$K$23))/((_xlfn.XLOOKUP(B5,'ZEV market share'!$B$4:$B$23,'ZEV market share'!I$4:$I$23)+_xlfn.XLOOKUP(B5,'ZEV market share'!$B$4:$B$23,'ZEV market share'!J$4:$J$23)))</f>
        <v>0.69561791887532476</v>
      </c>
      <c r="E5" s="201">
        <f t="shared" si="0"/>
        <v>31068098420.913868</v>
      </c>
      <c r="F5" s="201">
        <f>_xlfn.XLOOKUP(B5,'Global sales'!$B$4:$B$23,'Global sales'!$I$4:$I$23)</f>
        <v>1348138</v>
      </c>
      <c r="G5" s="201">
        <f t="shared" si="1"/>
        <v>2304.519153151522</v>
      </c>
      <c r="H5" s="202"/>
      <c r="I5" s="288" t="str">
        <f t="shared" si="2"/>
        <v/>
      </c>
      <c r="J5" s="289" t="str">
        <f t="shared" si="3"/>
        <v/>
      </c>
      <c r="K5" s="290">
        <f t="shared" si="4"/>
        <v>78.597576814151125</v>
      </c>
      <c r="N5" s="190"/>
      <c r="O5" s="191"/>
      <c r="P5" s="191"/>
      <c r="Q5" s="191"/>
      <c r="R5" s="191"/>
      <c r="S5" s="192"/>
      <c r="U5" s="176"/>
    </row>
    <row r="6" spans="2:21" ht="16">
      <c r="B6" s="36" t="s">
        <v>53</v>
      </c>
      <c r="C6" s="203">
        <v>23568594701.665146</v>
      </c>
      <c r="D6" s="200" cm="1">
        <f t="array" ref="D6">(_xlfn.XLOOKUP(B6,'ZEV market share'!$B$4:$B$23,'ZEV market share'!I$4:$I$23)+_xlfn.XLOOKUP(B6,'ZEV market share'!$B$4:$B$23,'ZEV market share'!K$4:$K$23))/((_xlfn.XLOOKUP(B6,'ZEV market share'!$B$4:$B$23,'ZEV market share'!I$4:$I$23)+_xlfn.XLOOKUP(B6,'ZEV market share'!$B$4:$B$23,'ZEV market share'!J$4:$J$23)))</f>
        <v>0.93584548755898045</v>
      </c>
      <c r="E6" s="201">
        <f t="shared" si="0"/>
        <v>22056562999.659821</v>
      </c>
      <c r="F6" s="201">
        <f>_xlfn.XLOOKUP(B6,'Global sales'!$B$4:$B$23,'Global sales'!$I$4:$I$23)</f>
        <v>1342916</v>
      </c>
      <c r="G6" s="201">
        <f t="shared" si="1"/>
        <v>1642.4380229038763</v>
      </c>
      <c r="H6" s="202"/>
      <c r="I6" s="288" t="str">
        <f t="shared" si="2"/>
        <v/>
      </c>
      <c r="J6" s="289" t="str">
        <f t="shared" si="3"/>
        <v/>
      </c>
      <c r="K6" s="290">
        <f t="shared" si="4"/>
        <v>55.889290636201459</v>
      </c>
      <c r="N6" s="190"/>
      <c r="O6" s="191"/>
      <c r="P6" s="191"/>
      <c r="Q6" s="191"/>
      <c r="R6" s="191"/>
      <c r="S6" s="192"/>
      <c r="U6" s="176"/>
    </row>
    <row r="7" spans="2:21" ht="16">
      <c r="B7" s="36" t="s">
        <v>49</v>
      </c>
      <c r="C7" s="203">
        <v>31264018768.136223</v>
      </c>
      <c r="D7" s="200" cm="1">
        <f t="array" ref="D7">(_xlfn.XLOOKUP(B7,'ZEV market share'!$B$4:$B$23,'ZEV market share'!I$4:$I$23)+_xlfn.XLOOKUP(B7,'ZEV market share'!$B$4:$B$23,'ZEV market share'!K$4:$K$23))/((_xlfn.XLOOKUP(B7,'ZEV market share'!$B$4:$B$23,'ZEV market share'!I$4:$I$23)+_xlfn.XLOOKUP(B7,'ZEV market share'!$B$4:$B$23,'ZEV market share'!J$4:$J$23)))</f>
        <v>0.75294404231982781</v>
      </c>
      <c r="E7" s="201">
        <f t="shared" si="0"/>
        <v>23540056670.443451</v>
      </c>
      <c r="F7" s="201">
        <f>_xlfn.XLOOKUP(B7,'Global sales'!$B$4:$B$23,'Global sales'!$I$4:$I$23)</f>
        <v>1741224</v>
      </c>
      <c r="G7" s="201">
        <f t="shared" si="1"/>
        <v>1351.9258102601073</v>
      </c>
      <c r="H7" s="202"/>
      <c r="I7" s="288" t="str">
        <f t="shared" si="2"/>
        <v/>
      </c>
      <c r="J7" s="289" t="str">
        <f t="shared" si="3"/>
        <v/>
      </c>
      <c r="K7" s="290">
        <f t="shared" si="4"/>
        <v>45.925202911126881</v>
      </c>
      <c r="N7" s="190"/>
      <c r="O7" s="191"/>
      <c r="P7" s="191"/>
      <c r="Q7" s="191"/>
      <c r="R7" s="191"/>
      <c r="S7" s="192"/>
      <c r="U7" s="176"/>
    </row>
    <row r="8" spans="2:21" ht="16">
      <c r="B8" s="36" t="s">
        <v>46</v>
      </c>
      <c r="C8" s="203">
        <v>20615955827.78875</v>
      </c>
      <c r="D8" s="200" cm="1">
        <f t="array" ref="D8">(_xlfn.XLOOKUP(B8,'ZEV market share'!$B$4:$B$23,'ZEV market share'!I$4:$I$23)+_xlfn.XLOOKUP(B8,'ZEV market share'!$B$4:$B$23,'ZEV market share'!K$4:$K$23))/((_xlfn.XLOOKUP(B8,'ZEV market share'!$B$4:$B$23,'ZEV market share'!I$4:$I$23)+_xlfn.XLOOKUP(B8,'ZEV market share'!$B$4:$B$23,'ZEV market share'!J$4:$J$23)))</f>
        <v>0.92666136172140312</v>
      </c>
      <c r="E8" s="201">
        <f t="shared" si="0"/>
        <v>19104009700.56702</v>
      </c>
      <c r="F8" s="201">
        <f>_xlfn.XLOOKUP(B8,'Global sales'!$B$4:$B$23,'Global sales'!$I$4:$I$23)</f>
        <v>1444978</v>
      </c>
      <c r="G8" s="201">
        <f t="shared" si="1"/>
        <v>1322.0969246983013</v>
      </c>
      <c r="H8" s="202"/>
      <c r="I8" s="288" t="str">
        <f t="shared" si="2"/>
        <v/>
      </c>
      <c r="J8" s="289" t="str">
        <f t="shared" si="3"/>
        <v/>
      </c>
      <c r="K8" s="290">
        <f t="shared" si="4"/>
        <v>44.902121541244853</v>
      </c>
      <c r="N8" s="190"/>
      <c r="O8" s="191"/>
      <c r="P8" s="191"/>
      <c r="Q8" s="191"/>
      <c r="R8" s="191"/>
      <c r="S8" s="192"/>
      <c r="U8" s="176"/>
    </row>
    <row r="9" spans="2:21" ht="16">
      <c r="B9" s="36" t="s">
        <v>228</v>
      </c>
      <c r="C9" s="203">
        <v>47722119971.733215</v>
      </c>
      <c r="D9" s="200" cm="1">
        <f t="array" ref="D9">(_xlfn.XLOOKUP(B9,'ZEV market share'!$B$4:$B$23,'ZEV market share'!I$4:$I$23)+_xlfn.XLOOKUP(B9,'ZEV market share'!$B$4:$B$23,'ZEV market share'!K$4:$K$23))/((_xlfn.XLOOKUP(B9,'ZEV market share'!$B$4:$B$23,'ZEV market share'!I$4:$I$23)+_xlfn.XLOOKUP(B9,'ZEV market share'!$B$4:$B$23,'ZEV market share'!J$4:$J$23)))</f>
        <v>0.67788420107412051</v>
      </c>
      <c r="E9" s="201">
        <f t="shared" si="0"/>
        <v>32350071170.6017</v>
      </c>
      <c r="F9" s="201">
        <f>_xlfn.XLOOKUP(B9,'Global sales'!$B$4:$B$23,'Global sales'!$I$4:$I$23)</f>
        <v>3025733</v>
      </c>
      <c r="G9" s="201">
        <f t="shared" si="1"/>
        <v>1069.1647667061734</v>
      </c>
      <c r="H9" s="202">
        <v>119305299.92933303</v>
      </c>
      <c r="I9" s="288">
        <f t="shared" si="2"/>
        <v>3.9430214076831311</v>
      </c>
      <c r="J9" s="289">
        <f t="shared" si="3"/>
        <v>3.687945516415196E-3</v>
      </c>
      <c r="K9" s="290">
        <f t="shared" si="4"/>
        <v>36.226967447752934</v>
      </c>
      <c r="N9" s="190"/>
      <c r="O9" s="191"/>
      <c r="P9" s="191"/>
      <c r="Q9" s="191"/>
      <c r="R9" s="191"/>
      <c r="S9" s="192"/>
      <c r="U9" s="176"/>
    </row>
    <row r="10" spans="2:21" ht="16">
      <c r="B10" s="36" t="s">
        <v>52</v>
      </c>
      <c r="C10" s="203">
        <v>33813235172.863888</v>
      </c>
      <c r="D10" s="200" cm="1">
        <f t="array" ref="D10">(_xlfn.XLOOKUP(B10,'ZEV market share'!$B$4:$B$23,'ZEV market share'!I$4:$I$23)+_xlfn.XLOOKUP(B10,'ZEV market share'!$B$4:$B$23,'ZEV market share'!K$4:$K$23))/((_xlfn.XLOOKUP(B10,'ZEV market share'!$B$4:$B$23,'ZEV market share'!I$4:$I$23)+_xlfn.XLOOKUP(B10,'ZEV market share'!$B$4:$B$23,'ZEV market share'!J$4:$J$23)))</f>
        <v>0.91722881953882818</v>
      </c>
      <c r="E10" s="201">
        <f t="shared" si="0"/>
        <v>31014473782.39473</v>
      </c>
      <c r="F10" s="201">
        <f>_xlfn.XLOOKUP(B10,'Global sales'!$B$4:$B$23,'Global sales'!$I$4:$I$23)</f>
        <v>2939512</v>
      </c>
      <c r="G10" s="201">
        <f t="shared" si="1"/>
        <v>1055.0892046841357</v>
      </c>
      <c r="H10" s="202">
        <v>715831799.57599831</v>
      </c>
      <c r="I10" s="288">
        <f t="shared" si="2"/>
        <v>24.352062504796656</v>
      </c>
      <c r="J10" s="289">
        <f t="shared" si="3"/>
        <v>2.3080572141847461E-2</v>
      </c>
      <c r="K10" s="290">
        <f t="shared" si="4"/>
        <v>35.744198983422351</v>
      </c>
      <c r="N10" s="190"/>
      <c r="O10" s="191"/>
      <c r="P10" s="191"/>
      <c r="Q10" s="191"/>
      <c r="R10" s="191"/>
      <c r="S10" s="192"/>
      <c r="U10" s="176"/>
    </row>
    <row r="11" spans="2:21" ht="16">
      <c r="B11" s="36" t="s">
        <v>229</v>
      </c>
      <c r="C11" s="203">
        <v>30452041660.219482</v>
      </c>
      <c r="D11" s="200" cm="1">
        <f t="array" ref="D11">(_xlfn.XLOOKUP(B11,'ZEV market share'!$B$4:$B$23,'ZEV market share'!I$4:$I$23)+_xlfn.XLOOKUP(B11,'ZEV market share'!$B$4:$B$23,'ZEV market share'!K$4:$K$23))/((_xlfn.XLOOKUP(B11,'ZEV market share'!$B$4:$B$23,'ZEV market share'!I$4:$I$23)+_xlfn.XLOOKUP(B11,'ZEV market share'!$B$4:$B$23,'ZEV market share'!J$4:$J$23)))</f>
        <v>0.63972083095979138</v>
      </c>
      <c r="E11" s="201">
        <f t="shared" si="0"/>
        <v>19480805395.297791</v>
      </c>
      <c r="F11" s="201">
        <f>_xlfn.XLOOKUP(B11,'Global sales'!$B$4:$B$23,'Global sales'!$I$4:$I$23)</f>
        <v>1923697</v>
      </c>
      <c r="G11" s="201">
        <f t="shared" si="1"/>
        <v>1012.6753535144979</v>
      </c>
      <c r="H11" s="202">
        <v>600675708.03772879</v>
      </c>
      <c r="I11" s="288">
        <f t="shared" si="2"/>
        <v>31.225068606840306</v>
      </c>
      <c r="J11" s="289">
        <f t="shared" si="3"/>
        <v>3.0834233793163284E-2</v>
      </c>
      <c r="K11" s="290">
        <f t="shared" si="4"/>
        <v>34.289474137376914</v>
      </c>
      <c r="N11" s="190"/>
      <c r="O11" s="191"/>
      <c r="P11" s="191"/>
      <c r="Q11" s="191"/>
      <c r="R11" s="191"/>
      <c r="S11" s="192"/>
      <c r="U11" s="176"/>
    </row>
    <row r="12" spans="2:21" ht="16">
      <c r="B12" s="36" t="s">
        <v>88</v>
      </c>
      <c r="C12" s="203">
        <v>9397137953.7341461</v>
      </c>
      <c r="D12" s="200" cm="1">
        <f t="array" ref="D12">(_xlfn.XLOOKUP(B12,'ZEV market share'!$B$4:$B$23,'ZEV market share'!I$4:$I$23)+_xlfn.XLOOKUP(B12,'ZEV market share'!$B$4:$B$23,'ZEV market share'!K$4:$K$23))/((_xlfn.XLOOKUP(B12,'ZEV market share'!$B$4:$B$23,'ZEV market share'!I$4:$I$23)+_xlfn.XLOOKUP(B12,'ZEV market share'!$B$4:$B$23,'ZEV market share'!J$4:$J$23)))</f>
        <v>0.52057917372635332</v>
      </c>
      <c r="E12" s="201">
        <f t="shared" si="0"/>
        <v>4891954311.347476</v>
      </c>
      <c r="F12" s="201">
        <f>_xlfn.XLOOKUP(B12,'Global sales'!$B$4:$B$23,'Global sales'!$I$4:$I$23)</f>
        <v>668438</v>
      </c>
      <c r="G12" s="201">
        <f t="shared" si="1"/>
        <v>731.84862490574687</v>
      </c>
      <c r="H12" s="202"/>
      <c r="I12" s="288" t="str">
        <f t="shared" si="2"/>
        <v/>
      </c>
      <c r="J12" s="289" t="str">
        <f t="shared" si="3"/>
        <v/>
      </c>
      <c r="K12" s="290">
        <f t="shared" si="4"/>
        <v>24.657582472861982</v>
      </c>
      <c r="N12" s="190"/>
      <c r="O12" s="191"/>
      <c r="P12" s="191"/>
      <c r="Q12" s="191"/>
      <c r="R12" s="191"/>
      <c r="S12" s="192"/>
      <c r="U12" s="176"/>
    </row>
    <row r="13" spans="2:21" ht="16">
      <c r="B13" s="36" t="s">
        <v>55</v>
      </c>
      <c r="C13" s="203">
        <v>16596170340.30785</v>
      </c>
      <c r="D13" s="200" cm="1">
        <f t="array" ref="D13">(_xlfn.XLOOKUP(B13,'ZEV market share'!$B$4:$B$23,'ZEV market share'!I$4:$I$23)+_xlfn.XLOOKUP(B13,'ZEV market share'!$B$4:$B$23,'ZEV market share'!K$4:$K$23))/((_xlfn.XLOOKUP(B13,'ZEV market share'!$B$4:$B$23,'ZEV market share'!I$4:$I$23)+_xlfn.XLOOKUP(B13,'ZEV market share'!$B$4:$B$23,'ZEV market share'!J$4:$J$23)))</f>
        <v>1</v>
      </c>
      <c r="E13" s="201">
        <f t="shared" si="0"/>
        <v>16596170340.30785</v>
      </c>
      <c r="F13" s="201">
        <f>_xlfn.XLOOKUP(B13,'Global sales'!$B$4:$B$23,'Global sales'!$I$4:$I$23)</f>
        <v>2292869</v>
      </c>
      <c r="G13" s="201">
        <f t="shared" si="1"/>
        <v>723.81677018215385</v>
      </c>
      <c r="H13" s="202"/>
      <c r="I13" s="288" t="str">
        <f t="shared" si="2"/>
        <v/>
      </c>
      <c r="J13" s="289" t="str">
        <f t="shared" si="3"/>
        <v/>
      </c>
      <c r="K13" s="290">
        <f t="shared" si="4"/>
        <v>24.382103158816516</v>
      </c>
      <c r="N13" s="190"/>
      <c r="O13" s="191"/>
      <c r="P13" s="191"/>
      <c r="Q13" s="191"/>
      <c r="R13" s="191"/>
      <c r="S13" s="192"/>
      <c r="U13" s="176"/>
    </row>
    <row r="14" spans="2:21" ht="16">
      <c r="B14" s="36" t="s">
        <v>51</v>
      </c>
      <c r="C14" s="203">
        <v>34113846878.086952</v>
      </c>
      <c r="D14" s="200" cm="1">
        <f t="array" ref="D14">(_xlfn.XLOOKUP(B14,'ZEV market share'!$B$4:$B$23,'ZEV market share'!I$4:$I$23)+_xlfn.XLOOKUP(B14,'ZEV market share'!$B$4:$B$23,'ZEV market share'!K$4:$K$23))/((_xlfn.XLOOKUP(B14,'ZEV market share'!$B$4:$B$23,'ZEV market share'!I$4:$I$23)+_xlfn.XLOOKUP(B14,'ZEV market share'!$B$4:$B$23,'ZEV market share'!J$4:$J$23)))</f>
        <v>0.63775604010443221</v>
      </c>
      <c r="E14" s="201">
        <f t="shared" si="0"/>
        <v>21756311897.697681</v>
      </c>
      <c r="F14" s="201">
        <f>_xlfn.XLOOKUP(B14,'Global sales'!$B$4:$B$23,'Global sales'!$I$4:$I$23)</f>
        <v>3048523</v>
      </c>
      <c r="G14" s="201">
        <f t="shared" si="1"/>
        <v>713.66730373028781</v>
      </c>
      <c r="H14" s="202"/>
      <c r="I14" s="288" t="str">
        <f t="shared" si="2"/>
        <v/>
      </c>
      <c r="J14" s="289" t="str">
        <f t="shared" si="3"/>
        <v/>
      </c>
      <c r="K14" s="290">
        <f t="shared" si="4"/>
        <v>24.033993269842238</v>
      </c>
      <c r="N14" s="190"/>
      <c r="O14" s="191"/>
      <c r="P14" s="191"/>
      <c r="Q14" s="191"/>
      <c r="R14" s="191"/>
      <c r="S14" s="192"/>
      <c r="U14" s="176"/>
    </row>
    <row r="15" spans="2:21" ht="16">
      <c r="B15" s="36" t="s">
        <v>216</v>
      </c>
      <c r="C15" s="203">
        <v>53573036254.089821</v>
      </c>
      <c r="D15" s="200" cm="1">
        <f t="array" ref="D15">(_xlfn.XLOOKUP(B15,'ZEV market share'!$B$4:$B$23,'ZEV market share'!I$4:$I$23)+_xlfn.XLOOKUP(B15,'ZEV market share'!$B$4:$B$23,'ZEV market share'!K$4:$K$23))/((_xlfn.XLOOKUP(B15,'ZEV market share'!$B$4:$B$23,'ZEV market share'!I$4:$I$23)+_xlfn.XLOOKUP(B15,'ZEV market share'!$B$4:$B$23,'ZEV market share'!J$4:$J$23)))</f>
        <v>0.77964072106695459</v>
      </c>
      <c r="E15" s="201">
        <f t="shared" si="0"/>
        <v>41767720614.884689</v>
      </c>
      <c r="F15" s="201">
        <f>_xlfn.XLOOKUP(B15,'Global sales'!$B$4:$B$23,'Global sales'!$I$4:$I$23)</f>
        <v>6052626</v>
      </c>
      <c r="G15" s="201">
        <f t="shared" si="1"/>
        <v>690.07602014207862</v>
      </c>
      <c r="H15" s="202">
        <v>933731348.56631804</v>
      </c>
      <c r="I15" s="288">
        <f t="shared" si="2"/>
        <v>15.426879978480713</v>
      </c>
      <c r="J15" s="289">
        <f t="shared" si="3"/>
        <v>2.2355334091024491E-2</v>
      </c>
      <c r="K15" s="290">
        <f t="shared" si="4"/>
        <v>23.224851316459819</v>
      </c>
      <c r="N15" s="190"/>
      <c r="O15" s="191"/>
      <c r="P15" s="191"/>
      <c r="Q15" s="191"/>
      <c r="R15" s="191"/>
      <c r="S15" s="192"/>
      <c r="U15" s="176"/>
    </row>
    <row r="16" spans="2:21" ht="16">
      <c r="B16" s="36" t="s">
        <v>84</v>
      </c>
      <c r="C16" s="203">
        <v>36607227538.922943</v>
      </c>
      <c r="D16" s="200" cm="1">
        <f t="array" ref="D16">(_xlfn.XLOOKUP(B16,'ZEV market share'!$B$4:$B$23,'ZEV market share'!I$4:$I$23)+_xlfn.XLOOKUP(B16,'ZEV market share'!$B$4:$B$23,'ZEV market share'!K$4:$K$23))/((_xlfn.XLOOKUP(B16,'ZEV market share'!$B$4:$B$23,'ZEV market share'!I$4:$I$23)+_xlfn.XLOOKUP(B16,'ZEV market share'!$B$4:$B$23,'ZEV market share'!J$4:$J$23)))</f>
        <v>0.81353166129686982</v>
      </c>
      <c r="E16" s="201">
        <f t="shared" si="0"/>
        <v>29781138635.212505</v>
      </c>
      <c r="F16" s="201">
        <f>_xlfn.XLOOKUP(B16,'Global sales'!$B$4:$B$23,'Global sales'!$I$4:$I$23)</f>
        <v>4880257</v>
      </c>
      <c r="G16" s="201">
        <f t="shared" si="1"/>
        <v>610.23709684167261</v>
      </c>
      <c r="H16" s="202">
        <v>119305299.92933303</v>
      </c>
      <c r="I16" s="288">
        <f t="shared" si="2"/>
        <v>2.4446519912646614</v>
      </c>
      <c r="J16" s="289">
        <f t="shared" si="3"/>
        <v>4.0060691228329766E-3</v>
      </c>
      <c r="K16" s="290">
        <f t="shared" si="4"/>
        <v>20.48650848260371</v>
      </c>
      <c r="N16" s="190"/>
      <c r="O16" s="191"/>
      <c r="P16" s="191"/>
      <c r="Q16" s="191"/>
      <c r="R16" s="191"/>
      <c r="S16" s="192"/>
      <c r="U16" s="176"/>
    </row>
    <row r="17" spans="2:21" ht="16">
      <c r="B17" s="36" t="s">
        <v>43</v>
      </c>
      <c r="C17" s="203">
        <v>18724989114.849701</v>
      </c>
      <c r="D17" s="200" cm="1">
        <f t="array" ref="D17">(_xlfn.XLOOKUP(B17,'ZEV market share'!$B$4:$B$23,'ZEV market share'!I$4:$I$23)+_xlfn.XLOOKUP(B17,'ZEV market share'!$B$4:$B$23,'ZEV market share'!K$4:$K$23))/((_xlfn.XLOOKUP(B17,'ZEV market share'!$B$4:$B$23,'ZEV market share'!I$4:$I$23)+_xlfn.XLOOKUP(B17,'ZEV market share'!$B$4:$B$23,'ZEV market share'!J$4:$J$23)))</f>
        <v>0.62888423324799481</v>
      </c>
      <c r="E17" s="201">
        <f t="shared" si="0"/>
        <v>11775850422.069304</v>
      </c>
      <c r="F17" s="201">
        <f>_xlfn.XLOOKUP(B17,'Global sales'!$B$4:$B$23,'Global sales'!$I$4:$I$23)</f>
        <v>1985190</v>
      </c>
      <c r="G17" s="201">
        <f t="shared" si="1"/>
        <v>593.1850564464512</v>
      </c>
      <c r="H17" s="202">
        <v>119305299.92933303</v>
      </c>
      <c r="I17" s="288">
        <f t="shared" si="2"/>
        <v>6.0097673234971483</v>
      </c>
      <c r="J17" s="289">
        <f t="shared" si="3"/>
        <v>1.0131353206197416E-2</v>
      </c>
      <c r="K17" s="290">
        <f t="shared" si="4"/>
        <v>19.901651739944683</v>
      </c>
      <c r="N17" s="190"/>
      <c r="O17" s="191"/>
      <c r="P17" s="191"/>
      <c r="Q17" s="191"/>
      <c r="R17" s="191"/>
      <c r="S17" s="192"/>
      <c r="U17" s="176"/>
    </row>
    <row r="18" spans="2:21" ht="16">
      <c r="B18" s="36" t="s">
        <v>59</v>
      </c>
      <c r="C18" s="203">
        <v>6987011753.6163521</v>
      </c>
      <c r="D18" s="200" cm="1">
        <f t="array" ref="D18">(_xlfn.XLOOKUP(B18,'ZEV market share'!$B$4:$B$23,'ZEV market share'!I$4:$I$23)+_xlfn.XLOOKUP(B18,'ZEV market share'!$B$4:$B$23,'ZEV market share'!K$4:$K$23))/((_xlfn.XLOOKUP(B18,'ZEV market share'!$B$4:$B$23,'ZEV market share'!I$4:$I$23)+_xlfn.XLOOKUP(B18,'ZEV market share'!$B$4:$B$23,'ZEV market share'!J$4:$J$23)))</f>
        <v>0.73867230587051391</v>
      </c>
      <c r="E18" s="201">
        <f t="shared" si="0"/>
        <v>5161112083.1881742</v>
      </c>
      <c r="F18" s="201">
        <f>_xlfn.XLOOKUP(B18,'Global sales'!$B$4:$B$23,'Global sales'!$I$4:$I$23)</f>
        <v>958566</v>
      </c>
      <c r="G18" s="201">
        <f t="shared" si="1"/>
        <v>538.42010703364963</v>
      </c>
      <c r="H18" s="202"/>
      <c r="I18" s="288" t="str">
        <f t="shared" si="2"/>
        <v/>
      </c>
      <c r="J18" s="289" t="str">
        <f t="shared" si="3"/>
        <v/>
      </c>
      <c r="K18" s="290">
        <f t="shared" si="4"/>
        <v>18.023304680994869</v>
      </c>
      <c r="N18" s="190"/>
      <c r="O18" s="191"/>
      <c r="P18" s="191"/>
      <c r="Q18" s="191"/>
      <c r="R18" s="191"/>
      <c r="S18" s="192"/>
      <c r="U18" s="176"/>
    </row>
    <row r="19" spans="2:21" ht="16">
      <c r="B19" s="36" t="s">
        <v>48</v>
      </c>
      <c r="C19" s="203">
        <v>16941352589.96529</v>
      </c>
      <c r="D19" s="200" cm="1">
        <f t="array" ref="D19">(_xlfn.XLOOKUP(B19,'ZEV market share'!$B$4:$B$23,'ZEV market share'!I$4:$I$23)+_xlfn.XLOOKUP(B19,'ZEV market share'!$B$4:$B$23,'ZEV market share'!K$4:$K$23))/((_xlfn.XLOOKUP(B19,'ZEV market share'!$B$4:$B$23,'ZEV market share'!I$4:$I$23)+_xlfn.XLOOKUP(B19,'ZEV market share'!$B$4:$B$23,'ZEV market share'!J$4:$J$23)))</f>
        <v>0.68581569956989441</v>
      </c>
      <c r="E19" s="201">
        <f t="shared" si="0"/>
        <v>11618645578.147287</v>
      </c>
      <c r="F19" s="201">
        <f>_xlfn.XLOOKUP(B19,'Global sales'!$B$4:$B$23,'Global sales'!$I$4:$I$23)</f>
        <v>4250963</v>
      </c>
      <c r="G19" s="201">
        <f t="shared" si="1"/>
        <v>273.31796532097053</v>
      </c>
      <c r="H19" s="202"/>
      <c r="I19" s="288" t="str">
        <f t="shared" si="2"/>
        <v/>
      </c>
      <c r="J19" s="289" t="str">
        <f t="shared" si="3"/>
        <v/>
      </c>
      <c r="K19" s="290">
        <f t="shared" si="4"/>
        <v>8.9307403027484256</v>
      </c>
      <c r="N19" s="190"/>
      <c r="O19" s="191"/>
      <c r="P19" s="191"/>
      <c r="Q19" s="191"/>
      <c r="R19" s="191"/>
      <c r="S19" s="192"/>
      <c r="U19" s="176"/>
    </row>
    <row r="20" spans="2:21" ht="16">
      <c r="B20" s="36" t="s">
        <v>15</v>
      </c>
      <c r="C20" s="203">
        <v>31165131639.915276</v>
      </c>
      <c r="D20" s="200" cm="1">
        <f t="array" ref="D20">(_xlfn.XLOOKUP(B20,'ZEV market share'!$B$4:$B$23,'ZEV market share'!I$4:$I$23)+_xlfn.XLOOKUP(B20,'ZEV market share'!$B$4:$B$23,'ZEV market share'!K$4:$K$23))/((_xlfn.XLOOKUP(B20,'ZEV market share'!$B$4:$B$23,'ZEV market share'!I$4:$I$23)+_xlfn.XLOOKUP(B20,'ZEV market share'!$B$4:$B$23,'ZEV market share'!J$4:$J$23)))</f>
        <v>0.48355952226702342</v>
      </c>
      <c r="E20" s="201">
        <f t="shared" si="0"/>
        <v>15070196167.186327</v>
      </c>
      <c r="F20" s="201">
        <f>_xlfn.XLOOKUP(B20,'Global sales'!$B$4:$B$23,'Global sales'!$I$4:$I$23)</f>
        <v>6865625</v>
      </c>
      <c r="G20" s="201">
        <f t="shared" si="1"/>
        <v>219.50217448792102</v>
      </c>
      <c r="H20" s="202"/>
      <c r="I20" s="288" t="str">
        <f t="shared" si="2"/>
        <v/>
      </c>
      <c r="J20" s="289" t="str">
        <f t="shared" si="3"/>
        <v/>
      </c>
      <c r="K20" s="290">
        <f t="shared" si="4"/>
        <v>7.0849478110148745</v>
      </c>
      <c r="N20" s="190"/>
      <c r="O20" s="191"/>
      <c r="P20" s="191"/>
      <c r="Q20" s="191"/>
      <c r="R20" s="191"/>
      <c r="S20" s="192"/>
      <c r="U20" s="176"/>
    </row>
    <row r="21" spans="2:21" ht="16">
      <c r="B21" s="36" t="s">
        <v>58</v>
      </c>
      <c r="C21" s="203">
        <v>1479385719.1237297</v>
      </c>
      <c r="D21" s="200" cm="1">
        <f t="array" ref="D21">(_xlfn.XLOOKUP(B21,'ZEV market share'!$B$4:$B$23,'ZEV market share'!I$4:$I$23)+_xlfn.XLOOKUP(B21,'ZEV market share'!$B$4:$B$23,'ZEV market share'!K$4:$K$23))/((_xlfn.XLOOKUP(B21,'ZEV market share'!$B$4:$B$23,'ZEV market share'!I$4:$I$23)+_xlfn.XLOOKUP(B21,'ZEV market share'!$B$4:$B$23,'ZEV market share'!J$4:$J$23)))</f>
        <v>0.95094096146701679</v>
      </c>
      <c r="E21" s="201">
        <f t="shared" si="0"/>
        <v>1406808478.1240935</v>
      </c>
      <c r="F21" s="201">
        <f>_xlfn.XLOOKUP(B21,'Global sales'!$B$4:$B$23,'Global sales'!$I$4:$I$23)</f>
        <v>924768</v>
      </c>
      <c r="G21" s="201">
        <f t="shared" si="1"/>
        <v>152.12555777493313</v>
      </c>
      <c r="H21" s="202"/>
      <c r="I21" s="288" t="str">
        <f t="shared" si="2"/>
        <v/>
      </c>
      <c r="J21" s="289" t="str">
        <f t="shared" si="3"/>
        <v/>
      </c>
      <c r="K21" s="290">
        <f t="shared" si="4"/>
        <v>4.7740414520792713</v>
      </c>
      <c r="N21" s="190"/>
      <c r="O21" s="191"/>
      <c r="P21" s="191"/>
      <c r="Q21" s="191"/>
      <c r="R21" s="191"/>
      <c r="S21" s="192"/>
      <c r="U21" s="176"/>
    </row>
    <row r="22" spans="2:21" ht="16">
      <c r="B22" s="36" t="s">
        <v>57</v>
      </c>
      <c r="C22" s="203">
        <v>988277382.49462318</v>
      </c>
      <c r="D22" s="200" cm="1">
        <f t="array" ref="D22">(_xlfn.XLOOKUP(B22,'ZEV market share'!$B$4:$B$23,'ZEV market share'!I$4:$I$23)+_xlfn.XLOOKUP(B22,'ZEV market share'!$B$4:$B$23,'ZEV market share'!K$4:$K$23))/((_xlfn.XLOOKUP(B22,'ZEV market share'!$B$4:$B$23,'ZEV market share'!I$4:$I$23)+_xlfn.XLOOKUP(B22,'ZEV market share'!$B$4:$B$23,'ZEV market share'!J$4:$J$23)))</f>
        <v>0.30869709666695344</v>
      </c>
      <c r="E22" s="201">
        <f t="shared" si="0"/>
        <v>305078358.67770642</v>
      </c>
      <c r="F22" s="201">
        <f>_xlfn.XLOOKUP(B22,'Global sales'!$B$4:$B$23,'Global sales'!$I$4:$I$23)</f>
        <v>2358740</v>
      </c>
      <c r="G22" s="201">
        <f t="shared" si="1"/>
        <v>12.933954512905467</v>
      </c>
      <c r="H22" s="202"/>
      <c r="I22" s="288" t="str">
        <f t="shared" si="2"/>
        <v/>
      </c>
      <c r="J22" s="289" t="str">
        <f t="shared" si="3"/>
        <v/>
      </c>
      <c r="K22" s="290">
        <f t="shared" si="4"/>
        <v>0</v>
      </c>
      <c r="N22" s="190"/>
      <c r="O22" s="191"/>
      <c r="P22" s="191"/>
      <c r="Q22" s="191"/>
      <c r="R22" s="191"/>
      <c r="S22" s="192"/>
      <c r="U22" s="176"/>
    </row>
    <row r="23" spans="2:21">
      <c r="B23" s="34" t="s">
        <v>425</v>
      </c>
    </row>
    <row r="24" spans="2:21">
      <c r="B24" s="34" t="s">
        <v>438</v>
      </c>
    </row>
    <row r="1048275" spans="6:6">
      <c r="F1048275" s="34" t="s">
        <v>254</v>
      </c>
    </row>
  </sheetData>
  <sheetProtection algorithmName="SHA-512" hashValue="e0WNVg0unjd7iiCuMfQpU1JwMB9Tf+IIdKNVcXt7bJn09bU6qLaCUGneicPXeTvpwjfVcxGZQAg2sm3yKStpWg==" saltValue="lLeXc8C9lH1WICWLvlECSw==" spinCount="100000" sheet="1" objects="1" scenarios="1" selectLockedCells="1" selectUnlockedCells="1"/>
  <phoneticPr fontId="3" type="noConversion"/>
  <conditionalFormatting sqref="K3:K22">
    <cfRule type="colorScale" priority="1">
      <colorScale>
        <cfvo type="min"/>
        <cfvo type="percentile" val="50"/>
        <cfvo type="max"/>
        <color theme="0"/>
        <color theme="5" tint="0.39997558519241921"/>
        <color theme="5"/>
      </colorScale>
    </cfRule>
  </conditionalFormatting>
  <pageMargins left="0.7" right="0.7" top="0.75" bottom="0.75" header="0.3" footer="0.3"/>
  <pageSetup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54885-45C2-D240-8645-CA0F48213B72}">
  <sheetPr>
    <tabColor theme="8" tint="0.39997558519241921"/>
  </sheetPr>
  <dimension ref="B2:O55"/>
  <sheetViews>
    <sheetView tabSelected="1" zoomScaleNormal="100" workbookViewId="0">
      <selection activeCell="M26" sqref="M26"/>
    </sheetView>
  </sheetViews>
  <sheetFormatPr baseColWidth="10" defaultColWidth="14.5" defaultRowHeight="16"/>
  <cols>
    <col min="1" max="1" width="3.1640625" style="1" customWidth="1"/>
    <col min="2" max="2" width="14.5" style="1"/>
    <col min="3" max="3" width="21.1640625" style="1" customWidth="1"/>
    <col min="4" max="4" width="14.5" style="1"/>
    <col min="5" max="5" width="21" style="1" customWidth="1"/>
    <col min="6" max="9" width="14.5" style="1"/>
    <col min="10" max="10" width="22" style="1" customWidth="1"/>
    <col min="11" max="13" width="14.5" style="1"/>
    <col min="14" max="14" width="67.5" style="1" customWidth="1"/>
    <col min="15" max="15" width="35.1640625" style="1" customWidth="1"/>
    <col min="16" max="16" width="13.1640625" style="1" customWidth="1"/>
    <col min="17" max="16384" width="14.5" style="1"/>
  </cols>
  <sheetData>
    <row r="2" spans="2:15">
      <c r="B2" s="344" t="s">
        <v>255</v>
      </c>
      <c r="C2" s="345" t="s">
        <v>267</v>
      </c>
      <c r="D2" s="345" t="s">
        <v>268</v>
      </c>
      <c r="E2" s="345" t="s">
        <v>256</v>
      </c>
      <c r="F2" s="345" t="s">
        <v>269</v>
      </c>
      <c r="G2" s="345" t="s">
        <v>270</v>
      </c>
      <c r="H2" s="345" t="s">
        <v>271</v>
      </c>
      <c r="I2" s="345" t="s">
        <v>272</v>
      </c>
      <c r="J2" s="345" t="s">
        <v>273</v>
      </c>
      <c r="K2" s="345" t="s">
        <v>257</v>
      </c>
      <c r="L2" s="344" t="s">
        <v>441</v>
      </c>
      <c r="M2" s="344" t="s">
        <v>210</v>
      </c>
      <c r="N2" s="440" t="s">
        <v>440</v>
      </c>
      <c r="O2" s="441"/>
    </row>
    <row r="3" spans="2:15">
      <c r="B3" s="236" t="s">
        <v>238</v>
      </c>
      <c r="C3" s="234"/>
      <c r="D3" s="234"/>
      <c r="E3" s="234"/>
      <c r="F3" s="234"/>
      <c r="G3" s="234"/>
      <c r="H3" s="234"/>
      <c r="I3" s="234"/>
      <c r="J3" s="265" t="s">
        <v>464</v>
      </c>
      <c r="K3" s="81">
        <f>_xlfn.IFNA(_xlfn.XLOOKUP(B3,Summary!$B$73:$B$92,Summary!$C$73:$C$92),0)</f>
        <v>1</v>
      </c>
      <c r="L3" s="90">
        <f>MAX(L5:$L$22)</f>
        <v>0.18695652173913047</v>
      </c>
      <c r="M3" s="286">
        <f>(L3-(MIN($L$3:$L$22)))/(MAX($L$3:$L$22)-MIN($L$3:$L$22))*100</f>
        <v>100</v>
      </c>
      <c r="N3" s="243" t="s">
        <v>305</v>
      </c>
      <c r="O3" s="243" t="s">
        <v>291</v>
      </c>
    </row>
    <row r="4" spans="2:15">
      <c r="B4" s="236" t="s">
        <v>237</v>
      </c>
      <c r="C4" s="234"/>
      <c r="D4" s="234"/>
      <c r="E4" s="234"/>
      <c r="F4" s="234"/>
      <c r="G4" s="234"/>
      <c r="H4" s="234"/>
      <c r="I4" s="234"/>
      <c r="J4" s="265" t="s">
        <v>464</v>
      </c>
      <c r="K4" s="81">
        <f>_xlfn.IFNA(_xlfn.XLOOKUP(B4,Summary!$B$73:$B$92,Summary!$C$73:$C$92),0)</f>
        <v>0.68630283339194897</v>
      </c>
      <c r="L4" s="90">
        <f>MAX(L5:$L$22)</f>
        <v>0.18695652173913047</v>
      </c>
      <c r="M4" s="286">
        <f t="shared" ref="M4:M22" si="0">(L4-(MIN($L$3:$L$22)))/(MAX($L$3:$L$22)-MIN($L$3:$L$22))*100</f>
        <v>100</v>
      </c>
      <c r="N4" s="243" t="s">
        <v>301</v>
      </c>
      <c r="O4" s="243" t="s">
        <v>291</v>
      </c>
    </row>
    <row r="5" spans="2:15">
      <c r="B5" s="236" t="s">
        <v>223</v>
      </c>
      <c r="C5" s="81">
        <f>D28/SUM(D28:D31)</f>
        <v>8.6956521739130432E-2</v>
      </c>
      <c r="D5" s="81">
        <f>D29/SUM(D28:D31)</f>
        <v>0.17391304347826086</v>
      </c>
      <c r="E5" s="81">
        <f>D30/SUM(D28:D31)</f>
        <v>0.52173913043478259</v>
      </c>
      <c r="F5" s="81">
        <f>D31/SUM(D28:D31)</f>
        <v>0.21739130434782608</v>
      </c>
      <c r="G5" s="81">
        <f>10%*E5+50%*F5</f>
        <v>0.16086956521739132</v>
      </c>
      <c r="H5" s="81">
        <f>10%*E5</f>
        <v>5.2173913043478265E-2</v>
      </c>
      <c r="I5" s="81"/>
      <c r="J5" s="90">
        <f t="shared" ref="J5:J22" si="1">SUMPRODUCT(G5:I5,$G$24:$I$24)</f>
        <v>0.18695652173913047</v>
      </c>
      <c r="K5" s="81">
        <f>_xlfn.IFNA(_xlfn.XLOOKUP(B5,Summary!$B$73:$B$92,Summary!$C$73:$C$92),0)</f>
        <v>8.24836478868438E-2</v>
      </c>
      <c r="L5" s="90">
        <f>IF(K5&gt;65%,MAX(L6:L25,L8:L25,#REF!),MAX(IF(K5="#N/A",0,J5),J5))</f>
        <v>0.18695652173913047</v>
      </c>
      <c r="M5" s="286">
        <f t="shared" si="0"/>
        <v>100</v>
      </c>
      <c r="N5" s="243" t="s">
        <v>308</v>
      </c>
      <c r="O5" s="243" t="s">
        <v>291</v>
      </c>
    </row>
    <row r="6" spans="2:15">
      <c r="B6" s="236" t="s">
        <v>234</v>
      </c>
      <c r="C6" s="81">
        <f>D43</f>
        <v>0.37</v>
      </c>
      <c r="D6" s="81">
        <f>D44+D45</f>
        <v>0.3</v>
      </c>
      <c r="E6" s="81">
        <f>D46+D47</f>
        <v>0.34</v>
      </c>
      <c r="F6" s="234">
        <v>0</v>
      </c>
      <c r="G6" s="81">
        <f>50%*D47</f>
        <v>8.5000000000000006E-2</v>
      </c>
      <c r="H6" s="81">
        <f>50%*D47</f>
        <v>8.5000000000000006E-2</v>
      </c>
      <c r="I6" s="81">
        <f>50%*D45</f>
        <v>7.4999999999999997E-2</v>
      </c>
      <c r="J6" s="90">
        <f t="shared" si="1"/>
        <v>0.15</v>
      </c>
      <c r="K6" s="81">
        <f>_xlfn.IFNA(_xlfn.XLOOKUP(B6,Summary!$B$73:$B$92,Summary!$C$73:$C$92),0)</f>
        <v>0.122557330904255</v>
      </c>
      <c r="L6" s="90">
        <f>IF(K6&gt;65%,MAX(L7:L25,L9:L25,#REF!),MAX(IF(K6="#N/A",0,J6),J6))</f>
        <v>0.15</v>
      </c>
      <c r="M6" s="286">
        <f t="shared" si="0"/>
        <v>80.232558139534873</v>
      </c>
      <c r="N6" s="243" t="s">
        <v>300</v>
      </c>
      <c r="O6" s="243" t="s">
        <v>298</v>
      </c>
    </row>
    <row r="7" spans="2:15">
      <c r="B7" s="236" t="s">
        <v>225</v>
      </c>
      <c r="C7" s="81">
        <f>D36</f>
        <v>0.1</v>
      </c>
      <c r="D7" s="81">
        <f>D37</f>
        <v>0.19</v>
      </c>
      <c r="E7" s="81">
        <f>D38</f>
        <v>0.71</v>
      </c>
      <c r="F7" s="81"/>
      <c r="G7" s="81">
        <f>15%*E7</f>
        <v>0.1065</v>
      </c>
      <c r="H7" s="81"/>
      <c r="I7" s="81"/>
      <c r="J7" s="90">
        <f t="shared" si="1"/>
        <v>0.1065</v>
      </c>
      <c r="K7" s="81">
        <f>_xlfn.IFNA(_xlfn.XLOOKUP(B7,Summary!$B$73:$B$92,Summary!$C$73:$C$92),0)</f>
        <v>2.4009797799170299E-2</v>
      </c>
      <c r="L7" s="90">
        <f>IF(K7&gt;65%,MAX(L8:L26,L10:L26,#REF!),MAX(IF(K7="#N/A",0,J7),J7))</f>
        <v>0.1065</v>
      </c>
      <c r="M7" s="286">
        <f t="shared" si="0"/>
        <v>56.965116279069761</v>
      </c>
      <c r="N7" s="243" t="s">
        <v>294</v>
      </c>
      <c r="O7" s="243"/>
    </row>
    <row r="8" spans="2:15">
      <c r="B8" s="236" t="s">
        <v>242</v>
      </c>
      <c r="C8" s="81">
        <f>D32/SUM($D$32:$D$35)</f>
        <v>0.28782056291945696</v>
      </c>
      <c r="D8" s="81">
        <f>D33/SUM($D$32:$D$35)</f>
        <v>0.43173084437918546</v>
      </c>
      <c r="E8" s="81">
        <f>D34/SUM($D$32:$D$35)</f>
        <v>0.27754138361543806</v>
      </c>
      <c r="F8" s="81">
        <f>D35/SUM($D$32:$D$35)</f>
        <v>2.9072090859195302E-3</v>
      </c>
      <c r="G8" s="81">
        <f>25%*E8</f>
        <v>6.9385345903859516E-2</v>
      </c>
      <c r="H8" s="81">
        <f>20%*F8</f>
        <v>5.8144181718390608E-4</v>
      </c>
      <c r="I8" s="81"/>
      <c r="J8" s="90">
        <f t="shared" si="1"/>
        <v>6.9676066812451476E-2</v>
      </c>
      <c r="K8" s="81">
        <f>_xlfn.IFNA(_xlfn.XLOOKUP(B8,Summary!$B$73:$B$92,Summary!$C$73:$C$92),0)</f>
        <v>0.111583911281306</v>
      </c>
      <c r="L8" s="90">
        <f>IF(K8&gt;65%,MAX(L9:L27,L11:L27,#REF!),MAX(IF(K8="#N/A",0,J8),J8))</f>
        <v>6.9676066812451476E-2</v>
      </c>
      <c r="M8" s="235">
        <f t="shared" si="0"/>
        <v>37.268593876427524</v>
      </c>
      <c r="N8" s="243" t="s">
        <v>292</v>
      </c>
      <c r="O8" s="243" t="s">
        <v>293</v>
      </c>
    </row>
    <row r="9" spans="2:15">
      <c r="B9" s="236" t="s">
        <v>217</v>
      </c>
      <c r="C9" s="81">
        <f>D51/SUM($D$51:$D$54)</f>
        <v>0.2407108239095315</v>
      </c>
      <c r="D9" s="81">
        <f>D53/SUM($D$51:$D$54)</f>
        <v>0.32794830371567046</v>
      </c>
      <c r="E9" s="81">
        <f>D54/SUM($D$51:$D$54)</f>
        <v>0.41249326871297792</v>
      </c>
      <c r="F9" s="81">
        <f>D52/SUM($D$51:$D$54)</f>
        <v>1.8847603661820141E-2</v>
      </c>
      <c r="G9" s="234"/>
      <c r="H9" s="234"/>
      <c r="I9" s="81">
        <f>50%*D9</f>
        <v>0.16397415185783523</v>
      </c>
      <c r="J9" s="90">
        <f t="shared" si="1"/>
        <v>4.9192245557350571E-2</v>
      </c>
      <c r="K9" s="81">
        <f>_xlfn.IFNA(_xlfn.XLOOKUP(B9,Summary!$B$73:$B$92,Summary!$C$73:$C$92),0)</f>
        <v>9.5962403886787395E-2</v>
      </c>
      <c r="L9" s="90">
        <f>IF(K9&gt;65%,MAX(L10:L28,L12:L28,#REF!),MAX(IF(K9="#N/A",0,J9),J9))</f>
        <v>4.9192245557350571E-2</v>
      </c>
      <c r="M9" s="235">
        <f t="shared" si="0"/>
        <v>26.312131344629368</v>
      </c>
      <c r="N9" s="243" t="s">
        <v>299</v>
      </c>
      <c r="O9" s="243" t="s">
        <v>313</v>
      </c>
    </row>
    <row r="10" spans="2:15">
      <c r="B10" s="236" t="s">
        <v>229</v>
      </c>
      <c r="C10" s="81">
        <f>D48</f>
        <v>0.3</v>
      </c>
      <c r="D10" s="81">
        <f>D49</f>
        <v>0.3</v>
      </c>
      <c r="E10" s="81">
        <f>D50</f>
        <v>0.4</v>
      </c>
      <c r="F10" s="234"/>
      <c r="G10" s="234"/>
      <c r="H10" s="234"/>
      <c r="I10" s="81">
        <f>25%*D10</f>
        <v>7.4999999999999997E-2</v>
      </c>
      <c r="J10" s="90">
        <f t="shared" si="1"/>
        <v>2.2499999999999999E-2</v>
      </c>
      <c r="K10" s="81">
        <f>_xlfn.IFNA(_xlfn.XLOOKUP(B10,Summary!$B$73:$B$92,Summary!$C$73:$C$92),0)</f>
        <v>0.103754520352542</v>
      </c>
      <c r="L10" s="90">
        <f>IF(K10&gt;65%,MAX(L11:L29,L13:L29,#REF!),MAX(IF(K10="#N/A",0,J10),J10))</f>
        <v>2.2499999999999999E-2</v>
      </c>
      <c r="M10" s="235">
        <f t="shared" si="0"/>
        <v>12.03488372093023</v>
      </c>
      <c r="N10" s="243" t="s">
        <v>302</v>
      </c>
      <c r="O10" s="243" t="s">
        <v>291</v>
      </c>
    </row>
    <row r="11" spans="2:15">
      <c r="B11" s="236" t="s">
        <v>239</v>
      </c>
      <c r="C11" s="81">
        <f>D39</f>
        <v>0.26700000000000002</v>
      </c>
      <c r="D11" s="81">
        <f>D40</f>
        <v>0.26700000000000002</v>
      </c>
      <c r="E11" s="81">
        <f>D41</f>
        <v>0.28000000000000003</v>
      </c>
      <c r="F11" s="81">
        <f>D42</f>
        <v>0.186</v>
      </c>
      <c r="G11" s="81">
        <f>5%*E11</f>
        <v>1.4000000000000002E-2</v>
      </c>
      <c r="H11" s="81"/>
      <c r="I11" s="81"/>
      <c r="J11" s="90">
        <f t="shared" si="1"/>
        <v>1.4000000000000002E-2</v>
      </c>
      <c r="K11" s="81">
        <f>_xlfn.IFNA(_xlfn.XLOOKUP(B11,Summary!$B$73:$B$92,Summary!$C$73:$C$92),0)</f>
        <v>3.8078058537142703E-2</v>
      </c>
      <c r="L11" s="90">
        <f>IF(K11&gt;65%,MAX(L12:L30,L14:L30,#REF!),MAX(IF(K11="#N/A",0,J11),J11))</f>
        <v>1.4000000000000002E-2</v>
      </c>
      <c r="M11" s="235">
        <f t="shared" si="0"/>
        <v>7.4883720930232558</v>
      </c>
      <c r="N11" s="243" t="s">
        <v>296</v>
      </c>
      <c r="O11" s="243" t="s">
        <v>291</v>
      </c>
    </row>
    <row r="12" spans="2:15">
      <c r="B12" s="236" t="s">
        <v>218</v>
      </c>
      <c r="C12" s="234"/>
      <c r="D12" s="234"/>
      <c r="E12" s="234"/>
      <c r="F12" s="234"/>
      <c r="G12" s="234"/>
      <c r="H12" s="234"/>
      <c r="I12" s="234"/>
      <c r="J12" s="90">
        <f t="shared" si="1"/>
        <v>0</v>
      </c>
      <c r="K12" s="81">
        <f>_xlfn.IFNA(_xlfn.XLOOKUP(B12,Summary!$B$73:$B$92,Summary!$C$73:$C$92),0)</f>
        <v>7.2925265996216801E-3</v>
      </c>
      <c r="L12" s="90">
        <f>IF(K12&gt;65%,MAX(L13:L31,L15:L31,#REF!),MAX(IF(K12="#N/A",0,J12),J12))</f>
        <v>0</v>
      </c>
      <c r="M12" s="235">
        <f t="shared" si="0"/>
        <v>0</v>
      </c>
      <c r="N12" s="243" t="s">
        <v>297</v>
      </c>
      <c r="O12" s="243"/>
    </row>
    <row r="13" spans="2:15">
      <c r="B13" s="236" t="s">
        <v>244</v>
      </c>
      <c r="C13" s="234"/>
      <c r="D13" s="234"/>
      <c r="E13" s="234"/>
      <c r="F13" s="234"/>
      <c r="G13" s="234"/>
      <c r="H13" s="234"/>
      <c r="I13" s="234"/>
      <c r="J13" s="90">
        <f t="shared" si="1"/>
        <v>0</v>
      </c>
      <c r="K13" s="81">
        <f>_xlfn.IFNA(_xlfn.XLOOKUP(B13,Summary!$B$73:$B$92,Summary!$C$73:$C$92),0)</f>
        <v>7.8445327005607204E-2</v>
      </c>
      <c r="L13" s="90">
        <f>IF(K13&gt;65%,MAX(L14:L31,L16:L31,#REF!),MAX(IF(K13="#N/A",0,J13),J13))</f>
        <v>0</v>
      </c>
      <c r="M13" s="235">
        <f t="shared" si="0"/>
        <v>0</v>
      </c>
      <c r="N13" s="243" t="s">
        <v>306</v>
      </c>
      <c r="O13" s="243" t="s">
        <v>295</v>
      </c>
    </row>
    <row r="14" spans="2:15">
      <c r="B14" s="236" t="s">
        <v>227</v>
      </c>
      <c r="C14" s="234"/>
      <c r="D14" s="234"/>
      <c r="E14" s="234"/>
      <c r="F14" s="234"/>
      <c r="G14" s="234"/>
      <c r="H14" s="234"/>
      <c r="I14" s="234"/>
      <c r="J14" s="90">
        <f t="shared" si="1"/>
        <v>0</v>
      </c>
      <c r="K14" s="81">
        <f>_xlfn.IFNA(_xlfn.XLOOKUP(B14,Summary!$B$73:$B$92,Summary!$C$73:$C$92),0)</f>
        <v>4.7522246697867402E-3</v>
      </c>
      <c r="L14" s="90">
        <f>IF(K14&gt;65%,MAX(L15:L31,L17:L31,#REF!),MAX(IF(K14="#N/A",0,J14),J14))</f>
        <v>0</v>
      </c>
      <c r="M14" s="235">
        <f t="shared" si="0"/>
        <v>0</v>
      </c>
      <c r="N14" s="243" t="s">
        <v>304</v>
      </c>
      <c r="O14" s="243" t="s">
        <v>291</v>
      </c>
    </row>
    <row r="15" spans="2:15">
      <c r="B15" s="236" t="s">
        <v>228</v>
      </c>
      <c r="C15" s="234"/>
      <c r="D15" s="234"/>
      <c r="E15" s="234"/>
      <c r="F15" s="234"/>
      <c r="G15" s="234"/>
      <c r="H15" s="234"/>
      <c r="I15" s="234"/>
      <c r="J15" s="90">
        <f t="shared" si="1"/>
        <v>0</v>
      </c>
      <c r="K15" s="81">
        <f>_xlfn.IFNA(_xlfn.XLOOKUP(B15,Summary!$B$73:$B$92,Summary!$C$73:$C$92),0)</f>
        <v>3.7531796432976702E-2</v>
      </c>
      <c r="L15" s="90">
        <f>IF(K15&gt;65%,MAX(L16:L31,L18:L31,#REF!),MAX(IF(K15="#N/A",0,J15),J15))</f>
        <v>0</v>
      </c>
      <c r="M15" s="235">
        <f t="shared" si="0"/>
        <v>0</v>
      </c>
      <c r="N15" s="243" t="s">
        <v>303</v>
      </c>
      <c r="O15" s="243" t="s">
        <v>291</v>
      </c>
    </row>
    <row r="16" spans="2:15">
      <c r="B16" s="236" t="s">
        <v>261</v>
      </c>
      <c r="C16" s="234"/>
      <c r="D16" s="234"/>
      <c r="E16" s="234"/>
      <c r="F16" s="234"/>
      <c r="G16" s="234"/>
      <c r="H16" s="234"/>
      <c r="I16" s="234"/>
      <c r="J16" s="90">
        <f t="shared" si="1"/>
        <v>0</v>
      </c>
      <c r="K16" s="81">
        <f>_xlfn.IFNA(_xlfn.XLOOKUP(B16,Summary!$B$73:$B$92,Summary!$C$73:$C$92),0)</f>
        <v>3.3447527695219798E-4</v>
      </c>
      <c r="L16" s="90">
        <f>IF(K16&gt;65%,MAX(L17:L31,L19:L31,#REF!),MAX(IF(K16="#N/A",0,J16),J16))</f>
        <v>0</v>
      </c>
      <c r="M16" s="235">
        <f t="shared" si="0"/>
        <v>0</v>
      </c>
      <c r="N16" s="243" t="s">
        <v>309</v>
      </c>
      <c r="O16" s="243" t="s">
        <v>291</v>
      </c>
    </row>
    <row r="17" spans="2:15">
      <c r="B17" s="236" t="s">
        <v>246</v>
      </c>
      <c r="C17" s="234"/>
      <c r="D17" s="234"/>
      <c r="E17" s="234"/>
      <c r="F17" s="234"/>
      <c r="G17" s="234"/>
      <c r="H17" s="234"/>
      <c r="I17" s="234"/>
      <c r="J17" s="90">
        <f t="shared" si="1"/>
        <v>0</v>
      </c>
      <c r="K17" s="81">
        <f>_xlfn.IFNA(_xlfn.XLOOKUP(B17,Summary!$B$73:$B$92,Summary!$C$73:$C$92),0)</f>
        <v>0.226939966250127</v>
      </c>
      <c r="L17" s="90">
        <f>IF(K17&gt;65%,MAX(L18:L31,L20:L31,#REF!),MAX(IF(K17="#N/A",0,J17),J17))</f>
        <v>0</v>
      </c>
      <c r="M17" s="235">
        <f t="shared" si="0"/>
        <v>0</v>
      </c>
      <c r="N17" s="243" t="s">
        <v>439</v>
      </c>
      <c r="O17" s="243"/>
    </row>
    <row r="18" spans="2:15">
      <c r="B18" s="236" t="s">
        <v>231</v>
      </c>
      <c r="C18" s="234"/>
      <c r="D18" s="234"/>
      <c r="E18" s="234"/>
      <c r="F18" s="234"/>
      <c r="G18" s="234"/>
      <c r="H18" s="234"/>
      <c r="I18" s="234"/>
      <c r="J18" s="90">
        <f t="shared" si="1"/>
        <v>0</v>
      </c>
      <c r="K18" s="81">
        <f>_xlfn.IFNA(_xlfn.XLOOKUP(B18,Summary!$B$73:$B$92,Summary!$C$73:$C$92),0)</f>
        <v>0.307832809994038</v>
      </c>
      <c r="L18" s="90">
        <f>IF(K18&gt;65%,MAX(L19:L31,L21:L31,#REF!),MAX(IF(K18="#N/A",0,J18),J18))</f>
        <v>0</v>
      </c>
      <c r="M18" s="235">
        <f t="shared" si="0"/>
        <v>0</v>
      </c>
      <c r="N18" s="8"/>
      <c r="O18" s="8"/>
    </row>
    <row r="19" spans="2:15">
      <c r="B19" s="236" t="s">
        <v>259</v>
      </c>
      <c r="C19" s="234"/>
      <c r="D19" s="234"/>
      <c r="E19" s="234"/>
      <c r="F19" s="234"/>
      <c r="G19" s="234"/>
      <c r="H19" s="234"/>
      <c r="I19" s="234"/>
      <c r="J19" s="90">
        <f t="shared" si="1"/>
        <v>0</v>
      </c>
      <c r="K19" s="81">
        <f>_xlfn.IFNA(_xlfn.XLOOKUP(B19,Summary!$B$73:$B$92,Summary!$C$73:$C$92),0)</f>
        <v>0.16291280668305999</v>
      </c>
      <c r="L19" s="90">
        <f>IF(K19&gt;65%,MAX(L20:L32,L22:L32,#REF!),MAX(IF(K19="#N/A",0,J19),J19))</f>
        <v>0</v>
      </c>
      <c r="M19" s="235">
        <f t="shared" si="0"/>
        <v>0</v>
      </c>
      <c r="N19" s="8"/>
      <c r="O19" s="8"/>
    </row>
    <row r="20" spans="2:15">
      <c r="B20" s="236" t="s">
        <v>442</v>
      </c>
      <c r="C20" s="234"/>
      <c r="D20" s="234"/>
      <c r="E20" s="234"/>
      <c r="F20" s="234"/>
      <c r="G20" s="234"/>
      <c r="H20" s="234"/>
      <c r="I20" s="234"/>
      <c r="J20" s="90">
        <f t="shared" si="1"/>
        <v>0</v>
      </c>
      <c r="K20" s="81">
        <f>_xlfn.IFNA(_xlfn.XLOOKUP(B20,Summary!$B$73:$B$92,Summary!$C$73:$C$92),0)</f>
        <v>0</v>
      </c>
      <c r="L20" s="90">
        <f>IF(K20&gt;65%,MAX(L21:L33,L24:L33,#REF!),MAX(IF(K20="#N/A",0,J20),J20))</f>
        <v>0</v>
      </c>
      <c r="M20" s="235">
        <f t="shared" si="0"/>
        <v>0</v>
      </c>
      <c r="N20" s="243" t="s">
        <v>312</v>
      </c>
      <c r="O20" s="243" t="s">
        <v>291</v>
      </c>
    </row>
    <row r="21" spans="2:15">
      <c r="B21" s="236" t="s">
        <v>258</v>
      </c>
      <c r="C21" s="234"/>
      <c r="D21" s="234"/>
      <c r="E21" s="234"/>
      <c r="F21" s="234"/>
      <c r="G21" s="234"/>
      <c r="H21" s="234"/>
      <c r="I21" s="234"/>
      <c r="J21" s="90">
        <f t="shared" si="1"/>
        <v>0</v>
      </c>
      <c r="K21" s="81">
        <f>_xlfn.IFNA(_xlfn.XLOOKUP(B21,Summary!$B$73:$B$92,Summary!$C$73:$C$92),0)</f>
        <v>0.104585781971365</v>
      </c>
      <c r="L21" s="90">
        <f>IF(K21&gt;65%,MAX(L22:L34,L25:L34,#REF!),MAX(IF(K21="#N/A",0,J21),J21))</f>
        <v>0</v>
      </c>
      <c r="M21" s="235">
        <f t="shared" si="0"/>
        <v>0</v>
      </c>
      <c r="N21" s="8"/>
      <c r="O21" s="8"/>
    </row>
    <row r="22" spans="2:15">
      <c r="B22" s="236" t="s">
        <v>260</v>
      </c>
      <c r="C22" s="234"/>
      <c r="D22" s="234"/>
      <c r="E22" s="234"/>
      <c r="F22" s="234"/>
      <c r="G22" s="234"/>
      <c r="H22" s="234"/>
      <c r="I22" s="234"/>
      <c r="J22" s="90">
        <f t="shared" si="1"/>
        <v>0</v>
      </c>
      <c r="K22" s="81">
        <f>_xlfn.IFNA(_xlfn.XLOOKUP(B22,Summary!$B$73:$B$92,Summary!$C$73:$C$92),0)</f>
        <v>1.47356651567929E-2</v>
      </c>
      <c r="L22" s="90">
        <f>IF(K22&gt;65%,MAX(L24:L35,J26:J35,#REF!),MAX(IF(K22="#N/A",0,J22),J22))</f>
        <v>0</v>
      </c>
      <c r="M22" s="235">
        <f t="shared" si="0"/>
        <v>0</v>
      </c>
      <c r="N22" s="243" t="s">
        <v>307</v>
      </c>
      <c r="O22" s="243" t="s">
        <v>291</v>
      </c>
    </row>
    <row r="23" spans="2:15">
      <c r="B23" s="11"/>
      <c r="C23" s="239"/>
      <c r="K23" s="241"/>
      <c r="L23" s="240"/>
      <c r="M23" s="242"/>
      <c r="N23" s="237"/>
    </row>
    <row r="24" spans="2:15" ht="15" customHeight="1">
      <c r="E24" s="238" t="s">
        <v>443</v>
      </c>
      <c r="F24" s="238"/>
      <c r="G24" s="8">
        <v>1</v>
      </c>
      <c r="H24" s="8">
        <v>0.5</v>
      </c>
      <c r="I24" s="8">
        <v>0.3</v>
      </c>
    </row>
    <row r="25" spans="2:15" ht="15" customHeight="1">
      <c r="B25" s="24"/>
    </row>
    <row r="26" spans="2:15" ht="15" customHeight="1">
      <c r="B26" s="2" t="s">
        <v>465</v>
      </c>
    </row>
    <row r="27" spans="2:15" ht="15" customHeight="1">
      <c r="B27" s="283" t="s">
        <v>262</v>
      </c>
      <c r="C27" s="284" t="s">
        <v>471</v>
      </c>
      <c r="D27" s="285"/>
    </row>
    <row r="28" spans="2:15" ht="15" customHeight="1">
      <c r="B28" s="9" t="s">
        <v>253</v>
      </c>
      <c r="C28" s="277" t="s">
        <v>274</v>
      </c>
      <c r="D28" s="266">
        <v>2000000</v>
      </c>
      <c r="O28" s="10"/>
    </row>
    <row r="29" spans="2:15" ht="15" customHeight="1">
      <c r="B29" s="9"/>
      <c r="C29" s="278" t="s">
        <v>466</v>
      </c>
      <c r="D29" s="267">
        <f>D28*2</f>
        <v>4000000</v>
      </c>
    </row>
    <row r="30" spans="2:15" ht="15" customHeight="1">
      <c r="B30" s="9"/>
      <c r="C30" s="278" t="s">
        <v>469</v>
      </c>
      <c r="D30" s="267">
        <f>D28*6</f>
        <v>12000000</v>
      </c>
    </row>
    <row r="31" spans="2:15" ht="15" customHeight="1">
      <c r="B31" s="9"/>
      <c r="C31" s="279" t="s">
        <v>467</v>
      </c>
      <c r="D31" s="269">
        <v>5000000</v>
      </c>
    </row>
    <row r="32" spans="2:15" ht="15" customHeight="1">
      <c r="B32" s="84" t="s">
        <v>266</v>
      </c>
      <c r="C32" s="277" t="s">
        <v>275</v>
      </c>
      <c r="D32" s="266">
        <v>1300000</v>
      </c>
      <c r="I32" s="82"/>
      <c r="J32" s="82"/>
      <c r="K32" s="82"/>
    </row>
    <row r="33" spans="2:4" ht="15" customHeight="1">
      <c r="B33" s="87"/>
      <c r="C33" s="278" t="s">
        <v>276</v>
      </c>
      <c r="D33" s="267">
        <v>1950000</v>
      </c>
    </row>
    <row r="34" spans="2:4" ht="15" customHeight="1">
      <c r="B34" s="87"/>
      <c r="C34" s="278" t="s">
        <v>277</v>
      </c>
      <c r="D34" s="267">
        <v>1253572</v>
      </c>
    </row>
    <row r="35" spans="2:4" ht="15" customHeight="1">
      <c r="B35" s="268"/>
      <c r="C35" s="279" t="s">
        <v>278</v>
      </c>
      <c r="D35" s="269">
        <v>13131</v>
      </c>
    </row>
    <row r="36" spans="2:4" ht="15" customHeight="1">
      <c r="B36" s="84" t="s">
        <v>252</v>
      </c>
      <c r="C36" s="280" t="s">
        <v>263</v>
      </c>
      <c r="D36" s="85">
        <v>0.1</v>
      </c>
    </row>
    <row r="37" spans="2:4">
      <c r="B37" s="87"/>
      <c r="C37" s="281" t="s">
        <v>264</v>
      </c>
      <c r="D37" s="79">
        <v>0.19</v>
      </c>
    </row>
    <row r="38" spans="2:4">
      <c r="B38" s="268"/>
      <c r="C38" s="282" t="s">
        <v>265</v>
      </c>
      <c r="D38" s="270">
        <v>0.71</v>
      </c>
    </row>
    <row r="39" spans="2:4" ht="17">
      <c r="B39" s="9" t="s">
        <v>243</v>
      </c>
      <c r="C39" s="277" t="s">
        <v>279</v>
      </c>
      <c r="D39" s="271">
        <v>0.26700000000000002</v>
      </c>
    </row>
    <row r="40" spans="2:4" ht="17">
      <c r="B40" s="9"/>
      <c r="C40" s="278" t="s">
        <v>280</v>
      </c>
      <c r="D40" s="272">
        <v>0.26700000000000002</v>
      </c>
    </row>
    <row r="41" spans="2:4" ht="47" customHeight="1">
      <c r="B41" s="9"/>
      <c r="C41" s="278" t="s">
        <v>281</v>
      </c>
      <c r="D41" s="273">
        <v>0.28000000000000003</v>
      </c>
    </row>
    <row r="42" spans="2:4" ht="34">
      <c r="B42" s="9"/>
      <c r="C42" s="279" t="s">
        <v>470</v>
      </c>
      <c r="D42" s="274">
        <v>0.186</v>
      </c>
    </row>
    <row r="43" spans="2:4" ht="17">
      <c r="B43" s="83" t="s">
        <v>232</v>
      </c>
      <c r="C43" s="277" t="s">
        <v>282</v>
      </c>
      <c r="D43" s="275">
        <v>0.37</v>
      </c>
    </row>
    <row r="44" spans="2:4" ht="47" customHeight="1">
      <c r="B44" s="86"/>
      <c r="C44" s="278" t="s">
        <v>283</v>
      </c>
      <c r="D44" s="273">
        <v>0.15</v>
      </c>
    </row>
    <row r="45" spans="2:4" ht="50" customHeight="1">
      <c r="B45" s="88"/>
      <c r="C45" s="278" t="s">
        <v>284</v>
      </c>
      <c r="D45" s="273">
        <v>0.15</v>
      </c>
    </row>
    <row r="46" spans="2:4" ht="66" customHeight="1">
      <c r="B46" s="88"/>
      <c r="C46" s="278" t="s">
        <v>285</v>
      </c>
      <c r="D46" s="273">
        <v>0.17</v>
      </c>
    </row>
    <row r="47" spans="2:4" ht="85" customHeight="1">
      <c r="B47" s="89"/>
      <c r="C47" s="279" t="s">
        <v>286</v>
      </c>
      <c r="D47" s="276">
        <v>0.17</v>
      </c>
    </row>
    <row r="48" spans="2:4">
      <c r="B48" s="84" t="s">
        <v>394</v>
      </c>
      <c r="C48" s="280" t="s">
        <v>263</v>
      </c>
      <c r="D48" s="85">
        <v>0.3</v>
      </c>
    </row>
    <row r="49" spans="2:6">
      <c r="B49" s="87"/>
      <c r="C49" s="281" t="s">
        <v>264</v>
      </c>
      <c r="D49" s="79">
        <v>0.3</v>
      </c>
    </row>
    <row r="50" spans="2:6" ht="17" customHeight="1">
      <c r="B50" s="268"/>
      <c r="C50" s="282" t="s">
        <v>472</v>
      </c>
      <c r="D50" s="270">
        <v>0.4</v>
      </c>
    </row>
    <row r="51" spans="2:6" ht="17">
      <c r="B51" s="84" t="s">
        <v>216</v>
      </c>
      <c r="C51" s="277" t="s">
        <v>287</v>
      </c>
      <c r="D51" s="266">
        <v>2235000</v>
      </c>
    </row>
    <row r="52" spans="2:6" ht="17">
      <c r="B52" s="87"/>
      <c r="C52" s="278" t="s">
        <v>288</v>
      </c>
      <c r="D52" s="267">
        <v>175000</v>
      </c>
    </row>
    <row r="53" spans="2:6" ht="17">
      <c r="B53" s="87"/>
      <c r="C53" s="278" t="s">
        <v>289</v>
      </c>
      <c r="D53" s="267">
        <v>3045000</v>
      </c>
    </row>
    <row r="54" spans="2:6" ht="17">
      <c r="B54" s="268"/>
      <c r="C54" s="279" t="s">
        <v>290</v>
      </c>
      <c r="D54" s="269">
        <v>3830000</v>
      </c>
    </row>
    <row r="55" spans="2:6">
      <c r="B55" s="1" t="s">
        <v>468</v>
      </c>
      <c r="C55" s="11"/>
      <c r="D55" s="12"/>
      <c r="E55" s="11"/>
      <c r="F55" s="12"/>
    </row>
  </sheetData>
  <sheetProtection algorithmName="SHA-512" hashValue="U+bTnqVf0G4oWU+S4EhSNf016V9MVHKmreT8SQJLc17Wj1zNzEl8vRIjpBuiXR1iPXDEmwboI634S9yrtw5nGw==" saltValue="8UZV2LUiX0B9CPGZMYrBXg==" spinCount="100000" sheet="1" objects="1" scenarios="1" selectLockedCells="1" selectUnlockedCells="1"/>
  <mergeCells count="1">
    <mergeCell ref="N2:O2"/>
  </mergeCells>
  <phoneticPr fontId="3" type="noConversion"/>
  <conditionalFormatting sqref="M3:M22">
    <cfRule type="colorScale" priority="1">
      <colorScale>
        <cfvo type="min"/>
        <cfvo type="max"/>
        <color theme="0"/>
        <color theme="5"/>
      </colorScale>
    </cfRule>
  </conditionalFormatting>
  <hyperlinks>
    <hyperlink ref="N5" r:id="rId1" display="https://www.sec.gov/ix?doc=/Archives/edgar/data/1605484/000160548423000020/stellantis-20221231.htm" xr:uid="{BAF04E34-5C0F-5B41-9096-E248F7A5A1AC}"/>
    <hyperlink ref="N8" r:id="rId2" display="https://www.renaultgroup.com/wp-content/uploads/2022/03/18-february-2022-2021-and-2022-compensation-of-corporate-officers.pdf" xr:uid="{754EC95A-A299-0B4D-B416-34C6A9534BF2}"/>
    <hyperlink ref="N20" r:id="rId3" xr:uid="{E2ACAE41-B455-624D-8C19-21527CD31829}"/>
    <hyperlink ref="N7" r:id="rId4" location="rom215687_31" display="https://www.sec.gov/Archives/edgar/data/1467858/000119312522131642/d215687ddef14a.htm#rom215687_31" xr:uid="{D2430B66-1B0A-7B4C-98C5-2D598E7FEC5B}"/>
    <hyperlink ref="N11" r:id="rId5" display="https://www.nissan-global.com/EN/IR/LIBRARY/FR/2021/ASSETS/PDF/fr2021.pdf" xr:uid="{F35BA56C-BC40-AA41-8429-54A0DCD2F7FB}"/>
    <hyperlink ref="N9" r:id="rId6" display="https://www.volkswagenag.com/presence/investorrelation/publications/annual-media-conference/2022/Verg%C3%BCtungsbericht%202021_en.pdf" xr:uid="{6182F6B9-5D09-E745-A311-77983DC66684}"/>
    <hyperlink ref="N12" r:id="rId7" location="rom696693_24" xr:uid="{940A255A-9C7B-4747-86EA-4C9EBE5B2780}"/>
    <hyperlink ref="N6" r:id="rId8" display="https://www.bmwgroup.com/content/dam/grpw/websites/bmwgroup_com/company/downloads/en/2022/Remuneration-Report-for-the-Board-of-Management-and-the-Supervisory-Board-2021.pdf" xr:uid="{161B09CE-0B44-8F4B-9296-B74B12DEAA8F}"/>
    <hyperlink ref="N10" r:id="rId9" display="https://group.mercedes-benz.com/documents/investors/reports/annual-report/mercedes-benz/mercedes-benz-remuneration-report-2022.pdf" xr:uid="{A34E4861-CE68-AA4C-8FDB-AABE9973C871}"/>
    <hyperlink ref="N15" r:id="rId10" location="tLTEM2" xr:uid="{13AD4028-C2B9-D14C-8789-839A8A5F1E8D}"/>
    <hyperlink ref="N22" r:id="rId11" xr:uid="{F358A7A7-D8D0-F546-96AD-D0B4CC6A0585}"/>
    <hyperlink ref="N14" r:id="rId12" xr:uid="{DAAFB5FD-A014-944A-A86E-6007DFA75204}"/>
    <hyperlink ref="N16" r:id="rId13" xr:uid="{D0C3B956-FC3B-C54C-A7C7-6F026E649E23}"/>
    <hyperlink ref="N3" r:id="rId14" xr:uid="{AC0CD6BA-287F-6043-8F63-7859CEB6FF44}"/>
    <hyperlink ref="N4" r:id="rId15" display="https://www.bydglobal.com/sitesresources/common/tools/generic/web/viewer.html?file=%2Fsites%2FSatellite%2FBYD%20PDF%20Viewer%3Fblobcol%3Durldata%26blobheader%3Dapplication%252Fpdf%26blobkey%3Did%26blobtable%3DMungoBlobs%26blobwhere%3D1600575229843%26ssbinary%3Dtrue" xr:uid="{8980477A-3288-E242-835C-E2A2B7F77378}"/>
    <hyperlink ref="O9" r:id="rId16" xr:uid="{A6C266B7-2DA9-FF40-B7AB-9CA8155C3891}"/>
    <hyperlink ref="N13" r:id="rId17" xr:uid="{F6C4EAFA-7692-0044-AFEC-04AF28ED8589}"/>
    <hyperlink ref="N17" r:id="rId18" xr:uid="{476288E4-B46B-B84C-8AAE-2EA8A5E46EA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A2357-7817-422C-AB5C-984C08004177}">
  <sheetPr>
    <tabColor theme="6" tint="0.39997558519241921"/>
  </sheetPr>
  <dimension ref="A2:AS95"/>
  <sheetViews>
    <sheetView zoomScaleNormal="100" workbookViewId="0">
      <selection activeCell="B1" sqref="B1"/>
    </sheetView>
  </sheetViews>
  <sheetFormatPr baseColWidth="10" defaultColWidth="11" defaultRowHeight="16"/>
  <cols>
    <col min="1" max="1" width="3" style="18" customWidth="1"/>
    <col min="2" max="2" width="15.83203125" style="18" customWidth="1"/>
    <col min="3" max="3" width="13.1640625" style="18" customWidth="1"/>
    <col min="4" max="4" width="13.83203125" style="18" customWidth="1"/>
    <col min="5" max="5" width="13.5" style="18" customWidth="1"/>
    <col min="6" max="6" width="12.83203125" style="18" customWidth="1"/>
    <col min="7" max="7" width="15.1640625" style="18" customWidth="1"/>
    <col min="8" max="8" width="15" style="18" customWidth="1"/>
    <col min="9" max="9" width="14" style="18" customWidth="1"/>
    <col min="10" max="10" width="14.33203125" style="18" customWidth="1"/>
    <col min="11" max="11" width="15.83203125" style="18" customWidth="1"/>
    <col min="12" max="12" width="21.83203125" style="18" customWidth="1"/>
    <col min="13" max="13" width="19" style="18" customWidth="1"/>
    <col min="14" max="14" width="13.6640625" style="18" customWidth="1"/>
    <col min="15" max="15" width="12.6640625" style="18" customWidth="1"/>
    <col min="16" max="16" width="13.83203125" style="18" customWidth="1"/>
    <col min="17" max="17" width="15.1640625" style="18" customWidth="1"/>
    <col min="18" max="19" width="9" style="18" customWidth="1"/>
    <col min="20" max="20" width="16" style="18" customWidth="1"/>
    <col min="21" max="21" width="17.33203125" style="18" customWidth="1"/>
    <col min="22" max="22" width="20.83203125" style="18" customWidth="1"/>
    <col min="23" max="23" width="14.1640625" style="18" customWidth="1"/>
    <col min="24" max="24" width="12.1640625" style="18" customWidth="1"/>
    <col min="25" max="26" width="8.6640625" style="18" customWidth="1"/>
    <col min="27" max="27" width="15.83203125" style="18" customWidth="1"/>
    <col min="28" max="28" width="14.5" style="18" customWidth="1"/>
    <col min="29" max="29" width="11.6640625" style="18" customWidth="1"/>
    <col min="30" max="30" width="11.5" style="18" customWidth="1"/>
    <col min="31" max="31" width="13.6640625" style="18" customWidth="1"/>
    <col min="32" max="32" width="16.1640625" style="18" customWidth="1"/>
    <col min="33" max="33" width="11" style="18"/>
    <col min="34" max="34" width="12.1640625" style="18" customWidth="1"/>
    <col min="35" max="36" width="8.83203125" style="18" customWidth="1"/>
    <col min="37" max="37" width="16" style="18" customWidth="1"/>
    <col min="38" max="38" width="11" style="18"/>
    <col min="39" max="39" width="15.83203125" style="18" customWidth="1"/>
    <col min="40" max="40" width="17.5" style="18" customWidth="1"/>
    <col min="41" max="41" width="13.5" style="18" customWidth="1"/>
    <col min="42" max="42" width="13.83203125" style="18" customWidth="1"/>
    <col min="43" max="43" width="12.5" style="18" customWidth="1"/>
    <col min="44" max="44" width="13.1640625" style="18" customWidth="1"/>
    <col min="45" max="45" width="9.33203125" style="18" customWidth="1"/>
    <col min="46" max="46" width="6.5" style="18" customWidth="1"/>
    <col min="47" max="47" width="8" style="18" customWidth="1"/>
    <col min="48" max="48" width="8.5" style="18" customWidth="1"/>
    <col min="49" max="49" width="4.5" style="18" customWidth="1"/>
    <col min="50" max="50" width="11" style="18"/>
    <col min="51" max="51" width="16.83203125" style="18" customWidth="1"/>
    <col min="52" max="52" width="21.5" style="18" customWidth="1"/>
    <col min="53" max="53" width="21.6640625" style="18" customWidth="1"/>
    <col min="54" max="54" width="15.5" style="18" customWidth="1"/>
    <col min="55" max="55" width="14.6640625" style="18" customWidth="1"/>
    <col min="56" max="57" width="11" style="18"/>
    <col min="58" max="58" width="15" style="18" customWidth="1"/>
    <col min="59" max="59" width="20.6640625" style="18" customWidth="1"/>
    <col min="60" max="60" width="14.83203125" style="18" customWidth="1"/>
    <col min="61" max="61" width="15.5" style="18" customWidth="1"/>
    <col min="62" max="62" width="17.33203125" style="18" customWidth="1"/>
    <col min="63" max="63" width="18.83203125" style="18" customWidth="1"/>
    <col min="64" max="64" width="11" style="18"/>
    <col min="65" max="65" width="13.33203125" style="18" customWidth="1"/>
    <col min="66" max="67" width="11" style="18"/>
    <col min="68" max="68" width="18.33203125" style="18" customWidth="1"/>
    <col min="69" max="69" width="15" style="18" customWidth="1"/>
    <col min="70" max="70" width="21.33203125" style="18" customWidth="1"/>
    <col min="71" max="71" width="24.6640625" style="18" customWidth="1"/>
    <col min="72" max="72" width="13.6640625" style="18" customWidth="1"/>
    <col min="73" max="73" width="13.1640625" style="18" customWidth="1"/>
    <col min="74" max="16384" width="11" style="18"/>
  </cols>
  <sheetData>
    <row r="2" spans="1:42" ht="16" customHeight="1">
      <c r="B2" s="350"/>
      <c r="C2" s="384" t="s">
        <v>11</v>
      </c>
      <c r="D2" s="385"/>
      <c r="E2" s="358" t="s">
        <v>12</v>
      </c>
      <c r="F2" s="359"/>
      <c r="G2" s="360"/>
      <c r="H2" s="358" t="s">
        <v>13</v>
      </c>
      <c r="I2" s="359"/>
      <c r="J2" s="359"/>
      <c r="K2" s="359"/>
      <c r="L2" s="359"/>
      <c r="M2" s="360"/>
      <c r="N2" s="358" t="s">
        <v>14</v>
      </c>
      <c r="O2" s="359"/>
      <c r="P2" s="359"/>
      <c r="Q2" s="360"/>
      <c r="T2" s="354"/>
      <c r="U2" s="369" t="s">
        <v>12</v>
      </c>
      <c r="V2" s="370"/>
      <c r="W2" s="370"/>
      <c r="X2" s="371"/>
      <c r="AA2" s="354"/>
      <c r="AB2" s="369" t="s">
        <v>13</v>
      </c>
      <c r="AC2" s="370"/>
      <c r="AD2" s="370"/>
      <c r="AE2" s="370"/>
      <c r="AF2" s="370"/>
      <c r="AG2" s="370"/>
      <c r="AH2" s="371"/>
      <c r="AK2" s="354"/>
      <c r="AL2" s="369" t="s">
        <v>14</v>
      </c>
      <c r="AM2" s="370"/>
      <c r="AN2" s="370"/>
      <c r="AO2" s="370"/>
      <c r="AP2" s="371"/>
    </row>
    <row r="3" spans="1:42" ht="32" customHeight="1">
      <c r="B3" s="351"/>
      <c r="C3" s="384"/>
      <c r="D3" s="385"/>
      <c r="E3" s="54" t="s">
        <v>19</v>
      </c>
      <c r="F3" s="54" t="s">
        <v>20</v>
      </c>
      <c r="G3" s="55" t="s">
        <v>21</v>
      </c>
      <c r="H3" s="54" t="s">
        <v>22</v>
      </c>
      <c r="I3" s="54" t="s">
        <v>23</v>
      </c>
      <c r="J3" s="54" t="s">
        <v>24</v>
      </c>
      <c r="K3" s="54" t="s">
        <v>25</v>
      </c>
      <c r="L3" s="54" t="s">
        <v>26</v>
      </c>
      <c r="M3" s="55" t="s">
        <v>21</v>
      </c>
      <c r="N3" s="54" t="s">
        <v>27</v>
      </c>
      <c r="O3" s="54" t="s">
        <v>28</v>
      </c>
      <c r="P3" s="54" t="s">
        <v>29</v>
      </c>
      <c r="Q3" s="55" t="s">
        <v>21</v>
      </c>
      <c r="T3" s="355"/>
      <c r="U3" s="54" t="s">
        <v>30</v>
      </c>
      <c r="V3" s="54" t="s">
        <v>31</v>
      </c>
      <c r="W3" s="352" t="s">
        <v>32</v>
      </c>
      <c r="X3" s="353"/>
      <c r="AA3" s="355"/>
      <c r="AB3" s="54" t="s">
        <v>33</v>
      </c>
      <c r="AC3" s="54" t="s">
        <v>34</v>
      </c>
      <c r="AD3" s="54" t="s">
        <v>35</v>
      </c>
      <c r="AE3" s="54" t="s">
        <v>36</v>
      </c>
      <c r="AF3" s="54" t="s">
        <v>37</v>
      </c>
      <c r="AG3" s="352" t="s">
        <v>32</v>
      </c>
      <c r="AH3" s="353"/>
      <c r="AK3" s="355"/>
      <c r="AL3" s="54" t="s">
        <v>38</v>
      </c>
      <c r="AM3" s="54" t="s">
        <v>39</v>
      </c>
      <c r="AN3" s="54" t="s">
        <v>40</v>
      </c>
      <c r="AO3" s="352" t="s">
        <v>32</v>
      </c>
      <c r="AP3" s="353"/>
    </row>
    <row r="4" spans="1:42" ht="19">
      <c r="A4" s="37" t="s">
        <v>42</v>
      </c>
      <c r="B4" s="45" t="str">
        <f t="shared" ref="B4:B23" si="0">_xlfn.XLOOKUP(A4,$K$27:$K$46,$L$27:$L$46)</f>
        <v>Tesla</v>
      </c>
      <c r="C4" s="50">
        <f t="shared" ref="C4:C23" si="1">_xlfn.XLOOKUP($A4,$B$27:$B$46,F$27:F$46)</f>
        <v>82.916666666666671</v>
      </c>
      <c r="D4" s="376" t="s">
        <v>18</v>
      </c>
      <c r="E4" s="56">
        <f t="shared" ref="E4:E23" si="2">ROUND(_xlfn.XLOOKUP($A4,$B$50:$B$69,C$50:C$69),0)</f>
        <v>100</v>
      </c>
      <c r="F4" s="56">
        <f t="shared" ref="F4:F23" si="3">ROUND(_xlfn.XLOOKUP($A4,$B$50:$B$69,D$50:D$69),0)</f>
        <v>38</v>
      </c>
      <c r="G4" s="46">
        <f t="shared" ref="G4:G23" si="4">ROUND(_xlfn.XLOOKUP($A4,$B$27:$B$46,C$27:C$46),0)</f>
        <v>69</v>
      </c>
      <c r="H4" s="56">
        <f t="shared" ref="H4:H22" si="5">ROUND(_xlfn.XLOOKUP($A4,$B$50:$B$69,E$50:E$69),0)</f>
        <v>100</v>
      </c>
      <c r="I4" s="56">
        <f t="shared" ref="I4:I22" si="6">ROUND(_xlfn.XLOOKUP($A4,$B$50:$B$69,F$50:F$69),0)</f>
        <v>100</v>
      </c>
      <c r="J4" s="56">
        <f t="shared" ref="J4:J22" si="7">ROUND(_xlfn.XLOOKUP($A4,$B$50:$B$69,G$50:G$69),0)</f>
        <v>100</v>
      </c>
      <c r="K4" s="56">
        <f t="shared" ref="K4:K22" si="8">ROUND(_xlfn.XLOOKUP($A4,$B$50:$B$69,H$50:H$69),0)</f>
        <v>0</v>
      </c>
      <c r="L4" s="56">
        <f t="shared" ref="L4:L22" si="9">ROUND(_xlfn.XLOOKUP($A4,$B$50:$B$69,I$50:I$69),0)</f>
        <v>100</v>
      </c>
      <c r="M4" s="46">
        <f t="shared" ref="M4:M23" si="10">ROUND(_xlfn.XLOOKUP($A4,$B$27:$B$46,D$27:D$46),0)</f>
        <v>80</v>
      </c>
      <c r="N4" s="56">
        <f t="shared" ref="N4:N23" si="11">ROUND(_xlfn.XLOOKUP($A4,$B$50:$B$69,J$50:J$69),0)</f>
        <v>100</v>
      </c>
      <c r="O4" s="56">
        <f t="shared" ref="O4:O23" si="12">ROUND(_xlfn.XLOOKUP($A4,$B$50:$B$69,K$50:K$69),0)</f>
        <v>100</v>
      </c>
      <c r="P4" s="56">
        <f t="shared" ref="P4:P23" si="13">ROUND(_xlfn.XLOOKUP($A4,$B$50:$B$69,L$50:L$69),0)</f>
        <v>100</v>
      </c>
      <c r="Q4" s="46">
        <f t="shared" ref="Q4:Q23" si="14">ROUND(_xlfn.XLOOKUP($A4,$B$27:$B$46,E$27:E$46),0)</f>
        <v>100</v>
      </c>
      <c r="R4" s="47"/>
      <c r="S4" s="37" t="s">
        <v>16</v>
      </c>
      <c r="T4" s="45" t="str">
        <f t="shared" ref="T4:T23" si="15">_xlfn.XLOOKUP(S4,$K$27:$K$46,$L$27:$L$46)</f>
        <v>BYD</v>
      </c>
      <c r="U4" s="56">
        <f t="shared" ref="U4:U23" si="16">ROUND(_xlfn.XLOOKUP($S4,$B$50:$B$71,C$50:C$71),0)</f>
        <v>69</v>
      </c>
      <c r="V4" s="57">
        <f t="shared" ref="V4:V23" si="17">ROUND(_xlfn.XLOOKUP($S4,$B$50:$B$71,D$50:D$71),0)</f>
        <v>88</v>
      </c>
      <c r="W4" s="46">
        <f t="shared" ref="W4:W23" si="18">ROUND(_xlfn.XLOOKUP($S4,$B$27:$B$48,C$27:C$48),0)</f>
        <v>78</v>
      </c>
      <c r="X4" s="361" t="s">
        <v>18</v>
      </c>
      <c r="Y4" s="96"/>
      <c r="Z4" s="37" t="s">
        <v>42</v>
      </c>
      <c r="AA4" s="45" t="str">
        <f t="shared" ref="AA4:AA23" si="19">_xlfn.XLOOKUP(Z4,$K$27:$K$46,$L$27:$L$46)</f>
        <v>Tesla</v>
      </c>
      <c r="AB4" s="56">
        <f t="shared" ref="AB4:AB22" si="20">ROUND(_xlfn.XLOOKUP($Z4,$B$50:$B$71,E$50:E$71),0)</f>
        <v>100</v>
      </c>
      <c r="AC4" s="56">
        <f t="shared" ref="AC4:AC22" si="21">ROUND(_xlfn.XLOOKUP($Z4,$B$50:$B$71,F$50:F$71),0)</f>
        <v>100</v>
      </c>
      <c r="AD4" s="56">
        <f t="shared" ref="AD4:AD22" si="22">ROUND(_xlfn.XLOOKUP($Z4,$B$50:$B$71,G$50:G$71),0)</f>
        <v>100</v>
      </c>
      <c r="AE4" s="56">
        <f t="shared" ref="AE4:AE22" si="23">ROUND(_xlfn.XLOOKUP($Z4,$B$50:$B$71,H$50:H$71),0)</f>
        <v>0</v>
      </c>
      <c r="AF4" s="56">
        <f t="shared" ref="AF4:AF22" si="24">ROUND(_xlfn.XLOOKUP($Z4,$B$50:$B$71,I$50:I$71),0)</f>
        <v>100</v>
      </c>
      <c r="AG4" s="68">
        <f t="shared" ref="AG4:AG23" si="25">ROUND(_xlfn.XLOOKUP($Z4,$B$27:$B$48,D$27:D$48),0)</f>
        <v>80</v>
      </c>
      <c r="AH4" s="361" t="s">
        <v>18</v>
      </c>
      <c r="AJ4" s="37" t="s">
        <v>42</v>
      </c>
      <c r="AK4" s="45" t="str">
        <f t="shared" ref="AK4:AK23" si="26">_xlfn.XLOOKUP(AJ4,$K$27:$K$46,$L$27:$L$46)</f>
        <v>Tesla</v>
      </c>
      <c r="AL4" s="56">
        <f t="shared" ref="AL4:AL23" si="27">ROUND(_xlfn.XLOOKUP($AJ4,$B$50:$B$71,J$50:J$71),0)</f>
        <v>100</v>
      </c>
      <c r="AM4" s="56">
        <f t="shared" ref="AM4:AM23" si="28">ROUND(_xlfn.XLOOKUP($AJ4,$B$50:$B$71,K$50:K$71),0)</f>
        <v>100</v>
      </c>
      <c r="AN4" s="56">
        <f t="shared" ref="AN4:AN23" si="29">ROUND(_xlfn.XLOOKUP($AJ4,$B$50:$B$71,L$50:L$71),0)</f>
        <v>100</v>
      </c>
      <c r="AO4" s="46">
        <f t="shared" ref="AO4:AO23" si="30">ROUND(_xlfn.XLOOKUP($AJ4,$B$27:$B$48,E$27:E$48),0)</f>
        <v>100</v>
      </c>
      <c r="AP4" s="373" t="s">
        <v>18</v>
      </c>
    </row>
    <row r="5" spans="1:42" ht="19">
      <c r="A5" s="37" t="s">
        <v>16</v>
      </c>
      <c r="B5" s="45" t="str">
        <f t="shared" si="0"/>
        <v>BYD</v>
      </c>
      <c r="C5" s="50">
        <f t="shared" si="1"/>
        <v>72.595919042339901</v>
      </c>
      <c r="D5" s="377"/>
      <c r="E5" s="56">
        <f t="shared" si="2"/>
        <v>69</v>
      </c>
      <c r="F5" s="56">
        <f t="shared" si="3"/>
        <v>88</v>
      </c>
      <c r="G5" s="46">
        <f t="shared" si="4"/>
        <v>78</v>
      </c>
      <c r="H5" s="56">
        <f t="shared" si="5"/>
        <v>74</v>
      </c>
      <c r="I5" s="56">
        <f t="shared" si="6"/>
        <v>38</v>
      </c>
      <c r="J5" s="56">
        <f t="shared" si="7"/>
        <v>73</v>
      </c>
      <c r="K5" s="56">
        <f t="shared" si="8"/>
        <v>0</v>
      </c>
      <c r="L5" s="56">
        <f t="shared" si="9"/>
        <v>100</v>
      </c>
      <c r="M5" s="46">
        <f t="shared" si="10"/>
        <v>57</v>
      </c>
      <c r="N5" s="56">
        <f t="shared" si="11"/>
        <v>70</v>
      </c>
      <c r="O5" s="56">
        <f t="shared" si="12"/>
        <v>79</v>
      </c>
      <c r="P5" s="56">
        <f t="shared" si="13"/>
        <v>100</v>
      </c>
      <c r="Q5" s="46">
        <f t="shared" si="14"/>
        <v>83</v>
      </c>
      <c r="R5" s="80"/>
      <c r="S5" s="37" t="s">
        <v>42</v>
      </c>
      <c r="T5" s="45" t="str">
        <f t="shared" si="15"/>
        <v>Tesla</v>
      </c>
      <c r="U5" s="56">
        <f t="shared" si="16"/>
        <v>100</v>
      </c>
      <c r="V5" s="57">
        <f t="shared" si="17"/>
        <v>38</v>
      </c>
      <c r="W5" s="46">
        <f t="shared" si="18"/>
        <v>69</v>
      </c>
      <c r="X5" s="375"/>
      <c r="Y5" s="96"/>
      <c r="Z5" s="37" t="s">
        <v>232</v>
      </c>
      <c r="AA5" s="45" t="str">
        <f t="shared" si="19"/>
        <v>BMW</v>
      </c>
      <c r="AB5" s="56">
        <f t="shared" si="20"/>
        <v>72</v>
      </c>
      <c r="AC5" s="56">
        <f t="shared" si="21"/>
        <v>52</v>
      </c>
      <c r="AD5" s="56">
        <f t="shared" si="22"/>
        <v>76</v>
      </c>
      <c r="AE5" s="56">
        <f t="shared" si="23"/>
        <v>100</v>
      </c>
      <c r="AF5" s="56">
        <f t="shared" si="24"/>
        <v>92</v>
      </c>
      <c r="AG5" s="68">
        <f t="shared" si="25"/>
        <v>78</v>
      </c>
      <c r="AH5" s="362"/>
      <c r="AJ5" s="37" t="s">
        <v>236</v>
      </c>
      <c r="AK5" s="45" t="str">
        <f t="shared" si="26"/>
        <v>BYD</v>
      </c>
      <c r="AL5" s="56">
        <f t="shared" si="27"/>
        <v>70</v>
      </c>
      <c r="AM5" s="56">
        <f t="shared" si="28"/>
        <v>79</v>
      </c>
      <c r="AN5" s="56">
        <f t="shared" si="29"/>
        <v>100</v>
      </c>
      <c r="AO5" s="46">
        <f t="shared" si="30"/>
        <v>83</v>
      </c>
      <c r="AP5" s="374"/>
    </row>
    <row r="6" spans="1:42" ht="19">
      <c r="A6" s="37" t="s">
        <v>43</v>
      </c>
      <c r="B6" s="45" t="str">
        <f t="shared" si="0"/>
        <v>BMW</v>
      </c>
      <c r="C6" s="50">
        <f t="shared" si="1"/>
        <v>55.627821342012943</v>
      </c>
      <c r="D6" s="378" t="s">
        <v>47</v>
      </c>
      <c r="E6" s="56">
        <f t="shared" si="2"/>
        <v>12</v>
      </c>
      <c r="F6" s="56">
        <f t="shared" si="3"/>
        <v>50</v>
      </c>
      <c r="G6" s="46">
        <f t="shared" si="4"/>
        <v>31</v>
      </c>
      <c r="H6" s="56">
        <f t="shared" si="5"/>
        <v>72</v>
      </c>
      <c r="I6" s="56">
        <f t="shared" si="6"/>
        <v>52</v>
      </c>
      <c r="J6" s="56">
        <f t="shared" si="7"/>
        <v>76</v>
      </c>
      <c r="K6" s="56">
        <f t="shared" si="8"/>
        <v>100</v>
      </c>
      <c r="L6" s="56">
        <f t="shared" si="9"/>
        <v>92</v>
      </c>
      <c r="M6" s="46">
        <f t="shared" si="10"/>
        <v>78</v>
      </c>
      <c r="N6" s="56">
        <f t="shared" si="11"/>
        <v>72</v>
      </c>
      <c r="O6" s="56">
        <f t="shared" si="12"/>
        <v>20</v>
      </c>
      <c r="P6" s="56">
        <f t="shared" si="13"/>
        <v>80</v>
      </c>
      <c r="Q6" s="46">
        <f t="shared" si="14"/>
        <v>57</v>
      </c>
      <c r="R6" s="80"/>
      <c r="S6" s="37" t="s">
        <v>45</v>
      </c>
      <c r="T6" s="45" t="str">
        <f t="shared" si="15"/>
        <v>SAIC</v>
      </c>
      <c r="U6" s="56">
        <f t="shared" si="16"/>
        <v>31</v>
      </c>
      <c r="V6" s="57">
        <f t="shared" si="17"/>
        <v>100</v>
      </c>
      <c r="W6" s="68">
        <f t="shared" si="18"/>
        <v>65</v>
      </c>
      <c r="X6" s="372" t="s">
        <v>47</v>
      </c>
      <c r="Y6" s="96"/>
      <c r="Z6" s="37" t="s">
        <v>41</v>
      </c>
      <c r="AA6" s="45" t="str">
        <f t="shared" si="19"/>
        <v>VW</v>
      </c>
      <c r="AB6" s="56">
        <f t="shared" si="20"/>
        <v>60</v>
      </c>
      <c r="AC6" s="56">
        <f t="shared" si="21"/>
        <v>51</v>
      </c>
      <c r="AD6" s="56">
        <f t="shared" si="22"/>
        <v>82</v>
      </c>
      <c r="AE6" s="56">
        <f t="shared" si="23"/>
        <v>75</v>
      </c>
      <c r="AF6" s="56">
        <f t="shared" si="24"/>
        <v>49</v>
      </c>
      <c r="AG6" s="68">
        <f t="shared" si="25"/>
        <v>63</v>
      </c>
      <c r="AH6" s="363" t="s">
        <v>47</v>
      </c>
      <c r="AJ6" s="37" t="s">
        <v>52</v>
      </c>
      <c r="AK6" s="45" t="str">
        <f t="shared" si="26"/>
        <v>GM</v>
      </c>
      <c r="AL6" s="56">
        <f t="shared" si="27"/>
        <v>96</v>
      </c>
      <c r="AM6" s="56">
        <f t="shared" si="28"/>
        <v>36</v>
      </c>
      <c r="AN6" s="56">
        <f t="shared" si="29"/>
        <v>57</v>
      </c>
      <c r="AO6" s="46">
        <f t="shared" si="30"/>
        <v>63</v>
      </c>
      <c r="AP6" s="363" t="s">
        <v>47</v>
      </c>
    </row>
    <row r="7" spans="1:42" ht="19">
      <c r="A7" s="37" t="s">
        <v>41</v>
      </c>
      <c r="B7" s="45" t="str">
        <f t="shared" si="0"/>
        <v>VW</v>
      </c>
      <c r="C7" s="50">
        <f t="shared" si="1"/>
        <v>52.891891332006246</v>
      </c>
      <c r="D7" s="379"/>
      <c r="E7" s="56">
        <f t="shared" si="2"/>
        <v>10</v>
      </c>
      <c r="F7" s="56">
        <f t="shared" si="3"/>
        <v>88</v>
      </c>
      <c r="G7" s="46">
        <f t="shared" si="4"/>
        <v>49</v>
      </c>
      <c r="H7" s="56">
        <f t="shared" si="5"/>
        <v>60</v>
      </c>
      <c r="I7" s="56">
        <f t="shared" si="6"/>
        <v>51</v>
      </c>
      <c r="J7" s="56">
        <f t="shared" si="7"/>
        <v>82</v>
      </c>
      <c r="K7" s="56">
        <f t="shared" si="8"/>
        <v>75</v>
      </c>
      <c r="L7" s="56">
        <f t="shared" si="9"/>
        <v>49</v>
      </c>
      <c r="M7" s="46">
        <f t="shared" si="10"/>
        <v>63</v>
      </c>
      <c r="N7" s="56">
        <f t="shared" si="11"/>
        <v>92</v>
      </c>
      <c r="O7" s="56">
        <f t="shared" si="12"/>
        <v>23</v>
      </c>
      <c r="P7" s="56">
        <f t="shared" si="13"/>
        <v>26</v>
      </c>
      <c r="Q7" s="46">
        <f t="shared" si="14"/>
        <v>47</v>
      </c>
      <c r="R7" s="80"/>
      <c r="S7" s="37" t="s">
        <v>49</v>
      </c>
      <c r="T7" s="45" t="str">
        <f t="shared" si="15"/>
        <v>Geely</v>
      </c>
      <c r="U7" s="56">
        <f t="shared" si="16"/>
        <v>23</v>
      </c>
      <c r="V7" s="57">
        <f t="shared" si="17"/>
        <v>88</v>
      </c>
      <c r="W7" s="68">
        <f t="shared" si="18"/>
        <v>55</v>
      </c>
      <c r="X7" s="364"/>
      <c r="Y7" s="96"/>
      <c r="Z7" s="37" t="s">
        <v>44</v>
      </c>
      <c r="AA7" s="45" t="str">
        <f t="shared" si="19"/>
        <v>Hyundai-Kia</v>
      </c>
      <c r="AB7" s="56">
        <f t="shared" si="20"/>
        <v>32</v>
      </c>
      <c r="AC7" s="56">
        <f t="shared" si="21"/>
        <v>75</v>
      </c>
      <c r="AD7" s="56">
        <f t="shared" si="22"/>
        <v>73</v>
      </c>
      <c r="AE7" s="56">
        <f t="shared" si="23"/>
        <v>11</v>
      </c>
      <c r="AF7" s="56">
        <f t="shared" si="24"/>
        <v>100</v>
      </c>
      <c r="AG7" s="68">
        <f t="shared" si="25"/>
        <v>58</v>
      </c>
      <c r="AH7" s="364"/>
      <c r="AJ7" s="37" t="s">
        <v>48</v>
      </c>
      <c r="AK7" s="45" t="str">
        <f t="shared" si="26"/>
        <v>Stellantis</v>
      </c>
      <c r="AL7" s="56">
        <f t="shared" si="27"/>
        <v>81</v>
      </c>
      <c r="AM7" s="56">
        <f t="shared" si="28"/>
        <v>9</v>
      </c>
      <c r="AN7" s="56">
        <f t="shared" si="29"/>
        <v>100</v>
      </c>
      <c r="AO7" s="46">
        <f t="shared" si="30"/>
        <v>63</v>
      </c>
      <c r="AP7" s="364"/>
    </row>
    <row r="8" spans="1:42" ht="19">
      <c r="A8" s="37" t="s">
        <v>48</v>
      </c>
      <c r="B8" s="45" t="str">
        <f t="shared" si="0"/>
        <v>Stellantis</v>
      </c>
      <c r="C8" s="50">
        <f t="shared" si="1"/>
        <v>49.728663632609404</v>
      </c>
      <c r="D8" s="379"/>
      <c r="E8" s="56">
        <f t="shared" si="2"/>
        <v>8</v>
      </c>
      <c r="F8" s="56">
        <f t="shared" si="3"/>
        <v>88</v>
      </c>
      <c r="G8" s="46">
        <f t="shared" si="4"/>
        <v>48</v>
      </c>
      <c r="H8" s="56">
        <f t="shared" si="5"/>
        <v>28</v>
      </c>
      <c r="I8" s="56">
        <f t="shared" si="6"/>
        <v>36</v>
      </c>
      <c r="J8" s="56">
        <f t="shared" si="7"/>
        <v>28</v>
      </c>
      <c r="K8" s="56">
        <f t="shared" si="8"/>
        <v>0</v>
      </c>
      <c r="L8" s="56">
        <f t="shared" si="9"/>
        <v>98</v>
      </c>
      <c r="M8" s="46">
        <f t="shared" si="10"/>
        <v>38</v>
      </c>
      <c r="N8" s="56">
        <f t="shared" si="11"/>
        <v>81</v>
      </c>
      <c r="O8" s="56">
        <f t="shared" si="12"/>
        <v>9</v>
      </c>
      <c r="P8" s="56">
        <f t="shared" si="13"/>
        <v>100</v>
      </c>
      <c r="Q8" s="46">
        <f t="shared" si="14"/>
        <v>63</v>
      </c>
      <c r="R8" s="80"/>
      <c r="S8" s="37" t="s">
        <v>53</v>
      </c>
      <c r="T8" s="45" t="str">
        <f t="shared" si="15"/>
        <v>Chang'an</v>
      </c>
      <c r="U8" s="56">
        <f t="shared" si="16"/>
        <v>16</v>
      </c>
      <c r="V8" s="57">
        <f t="shared" si="17"/>
        <v>88</v>
      </c>
      <c r="W8" s="68">
        <f t="shared" si="18"/>
        <v>52</v>
      </c>
      <c r="X8" s="364"/>
      <c r="Y8" s="96"/>
      <c r="Z8" s="37" t="s">
        <v>16</v>
      </c>
      <c r="AA8" s="45" t="str">
        <f t="shared" si="19"/>
        <v>BYD</v>
      </c>
      <c r="AB8" s="56">
        <f t="shared" si="20"/>
        <v>74</v>
      </c>
      <c r="AC8" s="56">
        <f t="shared" si="21"/>
        <v>38</v>
      </c>
      <c r="AD8" s="56">
        <f t="shared" si="22"/>
        <v>73</v>
      </c>
      <c r="AE8" s="56">
        <f t="shared" si="23"/>
        <v>0</v>
      </c>
      <c r="AF8" s="56">
        <f t="shared" si="24"/>
        <v>100</v>
      </c>
      <c r="AG8" s="68">
        <f t="shared" si="25"/>
        <v>57</v>
      </c>
      <c r="AH8" s="364"/>
      <c r="AJ8" s="37" t="s">
        <v>46</v>
      </c>
      <c r="AK8" s="45" t="str">
        <f t="shared" si="26"/>
        <v>Renault</v>
      </c>
      <c r="AL8" s="56">
        <f t="shared" si="27"/>
        <v>100</v>
      </c>
      <c r="AM8" s="56">
        <f t="shared" si="28"/>
        <v>45</v>
      </c>
      <c r="AN8" s="56">
        <f t="shared" si="29"/>
        <v>37</v>
      </c>
      <c r="AO8" s="46">
        <f t="shared" si="30"/>
        <v>61</v>
      </c>
      <c r="AP8" s="364"/>
    </row>
    <row r="9" spans="1:42" ht="19">
      <c r="A9" s="37" t="s">
        <v>49</v>
      </c>
      <c r="B9" s="45" t="str">
        <f t="shared" si="0"/>
        <v>Geely</v>
      </c>
      <c r="C9" s="50">
        <f t="shared" si="1"/>
        <v>48.300737534318067</v>
      </c>
      <c r="D9" s="379"/>
      <c r="E9" s="56">
        <f t="shared" si="2"/>
        <v>23</v>
      </c>
      <c r="F9" s="56">
        <f t="shared" si="3"/>
        <v>88</v>
      </c>
      <c r="G9" s="46">
        <f t="shared" si="4"/>
        <v>55</v>
      </c>
      <c r="H9" s="56">
        <f t="shared" si="5"/>
        <v>45</v>
      </c>
      <c r="I9" s="56">
        <f t="shared" si="6"/>
        <v>32</v>
      </c>
      <c r="J9" s="56">
        <f t="shared" si="7"/>
        <v>68</v>
      </c>
      <c r="K9" s="56">
        <f t="shared" si="8"/>
        <v>9</v>
      </c>
      <c r="L9" s="56">
        <f t="shared" si="9"/>
        <v>100</v>
      </c>
      <c r="M9" s="46">
        <f t="shared" si="10"/>
        <v>51</v>
      </c>
      <c r="N9" s="56">
        <f t="shared" si="11"/>
        <v>71</v>
      </c>
      <c r="O9" s="56">
        <f t="shared" si="12"/>
        <v>46</v>
      </c>
      <c r="P9" s="56">
        <f t="shared" si="13"/>
        <v>0</v>
      </c>
      <c r="Q9" s="46">
        <f t="shared" si="14"/>
        <v>39</v>
      </c>
      <c r="R9" s="80"/>
      <c r="S9" s="37" t="s">
        <v>41</v>
      </c>
      <c r="T9" s="45" t="str">
        <f t="shared" si="15"/>
        <v>VW</v>
      </c>
      <c r="U9" s="56">
        <f t="shared" si="16"/>
        <v>10</v>
      </c>
      <c r="V9" s="57">
        <f t="shared" si="17"/>
        <v>88</v>
      </c>
      <c r="W9" s="68">
        <f t="shared" si="18"/>
        <v>49</v>
      </c>
      <c r="X9" s="364"/>
      <c r="Y9" s="96"/>
      <c r="Z9" s="37" t="s">
        <v>54</v>
      </c>
      <c r="AA9" s="45" t="str">
        <f t="shared" si="19"/>
        <v>Ford</v>
      </c>
      <c r="AB9" s="56">
        <f t="shared" si="20"/>
        <v>26</v>
      </c>
      <c r="AC9" s="56">
        <f t="shared" si="21"/>
        <v>49</v>
      </c>
      <c r="AD9" s="56">
        <f t="shared" si="22"/>
        <v>95</v>
      </c>
      <c r="AE9" s="56">
        <f t="shared" si="23"/>
        <v>14</v>
      </c>
      <c r="AF9" s="56">
        <f t="shared" si="24"/>
        <v>91</v>
      </c>
      <c r="AG9" s="68">
        <f t="shared" si="25"/>
        <v>55</v>
      </c>
      <c r="AH9" s="364"/>
      <c r="AJ9" s="37" t="s">
        <v>43</v>
      </c>
      <c r="AK9" s="45" t="str">
        <f t="shared" si="26"/>
        <v>BMW</v>
      </c>
      <c r="AL9" s="56">
        <f t="shared" si="27"/>
        <v>72</v>
      </c>
      <c r="AM9" s="56">
        <f t="shared" si="28"/>
        <v>20</v>
      </c>
      <c r="AN9" s="56">
        <f t="shared" si="29"/>
        <v>80</v>
      </c>
      <c r="AO9" s="46">
        <f t="shared" si="30"/>
        <v>57</v>
      </c>
      <c r="AP9" s="364"/>
    </row>
    <row r="10" spans="1:42" ht="19">
      <c r="A10" s="37" t="s">
        <v>46</v>
      </c>
      <c r="B10" s="45" t="str">
        <f t="shared" si="0"/>
        <v>Renault</v>
      </c>
      <c r="C10" s="50">
        <f t="shared" si="1"/>
        <v>46.847464939441274</v>
      </c>
      <c r="D10" s="379"/>
      <c r="E10" s="56">
        <f t="shared" si="2"/>
        <v>11</v>
      </c>
      <c r="F10" s="56">
        <f t="shared" si="3"/>
        <v>75</v>
      </c>
      <c r="G10" s="46">
        <f t="shared" si="4"/>
        <v>43</v>
      </c>
      <c r="H10" s="56">
        <f t="shared" si="5"/>
        <v>49</v>
      </c>
      <c r="I10" s="56">
        <f t="shared" si="6"/>
        <v>13</v>
      </c>
      <c r="J10" s="56">
        <f t="shared" si="7"/>
        <v>32</v>
      </c>
      <c r="K10" s="56">
        <f t="shared" si="8"/>
        <v>0</v>
      </c>
      <c r="L10" s="56">
        <f t="shared" si="9"/>
        <v>90</v>
      </c>
      <c r="M10" s="46">
        <f t="shared" si="10"/>
        <v>37</v>
      </c>
      <c r="N10" s="56">
        <f t="shared" si="11"/>
        <v>100</v>
      </c>
      <c r="O10" s="56">
        <f t="shared" si="12"/>
        <v>45</v>
      </c>
      <c r="P10" s="56">
        <f t="shared" si="13"/>
        <v>37</v>
      </c>
      <c r="Q10" s="46">
        <f t="shared" si="14"/>
        <v>61</v>
      </c>
      <c r="R10" s="80"/>
      <c r="S10" s="37" t="s">
        <v>48</v>
      </c>
      <c r="T10" s="45" t="str">
        <f t="shared" si="15"/>
        <v>Stellantis</v>
      </c>
      <c r="U10" s="56">
        <f t="shared" si="16"/>
        <v>8</v>
      </c>
      <c r="V10" s="57">
        <f t="shared" si="17"/>
        <v>88</v>
      </c>
      <c r="W10" s="68">
        <f t="shared" si="18"/>
        <v>48</v>
      </c>
      <c r="X10" s="364"/>
      <c r="Y10" s="96"/>
      <c r="Z10" s="37" t="s">
        <v>50</v>
      </c>
      <c r="AA10" s="45" t="str">
        <f t="shared" si="19"/>
        <v>Mercedes-Benz</v>
      </c>
      <c r="AB10" s="56">
        <f t="shared" si="20"/>
        <v>55</v>
      </c>
      <c r="AC10" s="56">
        <f t="shared" si="21"/>
        <v>41</v>
      </c>
      <c r="AD10" s="56">
        <f t="shared" si="22"/>
        <v>73</v>
      </c>
      <c r="AE10" s="56">
        <f t="shared" si="23"/>
        <v>50</v>
      </c>
      <c r="AF10" s="56">
        <f t="shared" si="24"/>
        <v>43</v>
      </c>
      <c r="AG10" s="68">
        <f t="shared" si="25"/>
        <v>53</v>
      </c>
      <c r="AH10" s="364"/>
      <c r="AJ10" s="37" t="s">
        <v>50</v>
      </c>
      <c r="AK10" s="45" t="str">
        <f t="shared" si="26"/>
        <v>Mercedes-Benz</v>
      </c>
      <c r="AL10" s="56">
        <f t="shared" si="27"/>
        <v>96</v>
      </c>
      <c r="AM10" s="56">
        <f t="shared" si="28"/>
        <v>34</v>
      </c>
      <c r="AN10" s="56">
        <f t="shared" si="29"/>
        <v>12</v>
      </c>
      <c r="AO10" s="46">
        <f t="shared" si="30"/>
        <v>47</v>
      </c>
      <c r="AP10" s="364"/>
    </row>
    <row r="11" spans="1:42" ht="19">
      <c r="A11" s="37" t="s">
        <v>50</v>
      </c>
      <c r="B11" s="45" t="str">
        <f t="shared" si="0"/>
        <v>Mercedes-Benz</v>
      </c>
      <c r="C11" s="50">
        <f t="shared" si="1"/>
        <v>45.460352321368873</v>
      </c>
      <c r="D11" s="379"/>
      <c r="E11" s="56">
        <f t="shared" si="2"/>
        <v>10</v>
      </c>
      <c r="F11" s="56">
        <f t="shared" si="3"/>
        <v>63</v>
      </c>
      <c r="G11" s="46">
        <f t="shared" si="4"/>
        <v>36</v>
      </c>
      <c r="H11" s="56">
        <f t="shared" si="5"/>
        <v>55</v>
      </c>
      <c r="I11" s="56">
        <f t="shared" si="6"/>
        <v>41</v>
      </c>
      <c r="J11" s="56">
        <f t="shared" si="7"/>
        <v>73</v>
      </c>
      <c r="K11" s="56">
        <f t="shared" si="8"/>
        <v>50</v>
      </c>
      <c r="L11" s="56">
        <f t="shared" si="9"/>
        <v>43</v>
      </c>
      <c r="M11" s="46">
        <f t="shared" si="10"/>
        <v>53</v>
      </c>
      <c r="N11" s="56">
        <f t="shared" si="11"/>
        <v>96</v>
      </c>
      <c r="O11" s="56">
        <f t="shared" si="12"/>
        <v>34</v>
      </c>
      <c r="P11" s="56">
        <f t="shared" si="13"/>
        <v>12</v>
      </c>
      <c r="Q11" s="46">
        <f t="shared" si="14"/>
        <v>47</v>
      </c>
      <c r="R11" s="80"/>
      <c r="S11" s="37" t="s">
        <v>46</v>
      </c>
      <c r="T11" s="45" t="str">
        <f t="shared" si="15"/>
        <v>Renault</v>
      </c>
      <c r="U11" s="56">
        <f t="shared" si="16"/>
        <v>11</v>
      </c>
      <c r="V11" s="57">
        <f t="shared" si="17"/>
        <v>75</v>
      </c>
      <c r="W11" s="68">
        <f t="shared" si="18"/>
        <v>43</v>
      </c>
      <c r="X11" s="364"/>
      <c r="Y11" s="96"/>
      <c r="Z11" s="37" t="s">
        <v>52</v>
      </c>
      <c r="AA11" s="45" t="str">
        <f t="shared" si="19"/>
        <v>GM</v>
      </c>
      <c r="AB11" s="56">
        <f t="shared" si="20"/>
        <v>53</v>
      </c>
      <c r="AC11" s="56">
        <f t="shared" si="21"/>
        <v>31</v>
      </c>
      <c r="AD11" s="56">
        <f t="shared" si="22"/>
        <v>78</v>
      </c>
      <c r="AE11" s="56">
        <f t="shared" si="23"/>
        <v>0</v>
      </c>
      <c r="AF11" s="56">
        <f t="shared" si="24"/>
        <v>99</v>
      </c>
      <c r="AG11" s="68">
        <f t="shared" si="25"/>
        <v>52</v>
      </c>
      <c r="AH11" s="364"/>
      <c r="AJ11" s="37" t="s">
        <v>41</v>
      </c>
      <c r="AK11" s="45" t="str">
        <f t="shared" si="26"/>
        <v>VW</v>
      </c>
      <c r="AL11" s="56">
        <f t="shared" si="27"/>
        <v>92</v>
      </c>
      <c r="AM11" s="56">
        <f t="shared" si="28"/>
        <v>23</v>
      </c>
      <c r="AN11" s="56">
        <f t="shared" si="29"/>
        <v>26</v>
      </c>
      <c r="AO11" s="46">
        <f t="shared" si="30"/>
        <v>47</v>
      </c>
      <c r="AP11" s="364"/>
    </row>
    <row r="12" spans="1:42" ht="19">
      <c r="A12" s="37" t="s">
        <v>52</v>
      </c>
      <c r="B12" s="45" t="str">
        <f t="shared" si="0"/>
        <v>GM</v>
      </c>
      <c r="C12" s="50">
        <f t="shared" si="1"/>
        <v>44.933261391357469</v>
      </c>
      <c r="D12" s="379"/>
      <c r="E12" s="56">
        <f t="shared" si="2"/>
        <v>2</v>
      </c>
      <c r="F12" s="56">
        <f t="shared" si="3"/>
        <v>38</v>
      </c>
      <c r="G12" s="46">
        <f t="shared" si="4"/>
        <v>20</v>
      </c>
      <c r="H12" s="56">
        <f t="shared" si="5"/>
        <v>53</v>
      </c>
      <c r="I12" s="56">
        <f t="shared" si="6"/>
        <v>31</v>
      </c>
      <c r="J12" s="56">
        <f t="shared" si="7"/>
        <v>78</v>
      </c>
      <c r="K12" s="56">
        <f t="shared" si="8"/>
        <v>0</v>
      </c>
      <c r="L12" s="56">
        <f t="shared" si="9"/>
        <v>99</v>
      </c>
      <c r="M12" s="46">
        <f t="shared" si="10"/>
        <v>52</v>
      </c>
      <c r="N12" s="56">
        <f t="shared" si="11"/>
        <v>96</v>
      </c>
      <c r="O12" s="56">
        <f t="shared" si="12"/>
        <v>36</v>
      </c>
      <c r="P12" s="56">
        <f t="shared" si="13"/>
        <v>57</v>
      </c>
      <c r="Q12" s="46">
        <f t="shared" si="14"/>
        <v>63</v>
      </c>
      <c r="R12" s="80"/>
      <c r="S12" s="37" t="s">
        <v>58</v>
      </c>
      <c r="T12" s="45" t="str">
        <f t="shared" si="15"/>
        <v>Great Wall</v>
      </c>
      <c r="U12" s="56">
        <f t="shared" si="16"/>
        <v>10</v>
      </c>
      <c r="V12" s="57">
        <f t="shared" si="17"/>
        <v>75</v>
      </c>
      <c r="W12" s="68">
        <f t="shared" si="18"/>
        <v>43</v>
      </c>
      <c r="X12" s="364"/>
      <c r="Y12" s="96"/>
      <c r="Z12" s="37" t="s">
        <v>49</v>
      </c>
      <c r="AA12" s="45" t="str">
        <f t="shared" si="19"/>
        <v>Geely</v>
      </c>
      <c r="AB12" s="56">
        <f t="shared" si="20"/>
        <v>45</v>
      </c>
      <c r="AC12" s="56">
        <f t="shared" si="21"/>
        <v>32</v>
      </c>
      <c r="AD12" s="56">
        <f t="shared" si="22"/>
        <v>68</v>
      </c>
      <c r="AE12" s="56">
        <f t="shared" si="23"/>
        <v>9</v>
      </c>
      <c r="AF12" s="56">
        <f t="shared" si="24"/>
        <v>100</v>
      </c>
      <c r="AG12" s="68">
        <f t="shared" si="25"/>
        <v>51</v>
      </c>
      <c r="AH12" s="364"/>
      <c r="AJ12" s="37" t="s">
        <v>54</v>
      </c>
      <c r="AK12" s="45" t="str">
        <f t="shared" si="26"/>
        <v>Ford</v>
      </c>
      <c r="AL12" s="56">
        <f t="shared" si="27"/>
        <v>96</v>
      </c>
      <c r="AM12" s="56">
        <f t="shared" si="28"/>
        <v>36</v>
      </c>
      <c r="AN12" s="56">
        <f t="shared" si="29"/>
        <v>0</v>
      </c>
      <c r="AO12" s="46">
        <f t="shared" si="30"/>
        <v>44</v>
      </c>
      <c r="AP12" s="364"/>
    </row>
    <row r="13" spans="1:42" ht="19">
      <c r="A13" s="37" t="s">
        <v>45</v>
      </c>
      <c r="B13" s="45" t="str">
        <f t="shared" si="0"/>
        <v>SAIC</v>
      </c>
      <c r="C13" s="50">
        <f t="shared" si="1"/>
        <v>44.121039110220465</v>
      </c>
      <c r="D13" s="379"/>
      <c r="E13" s="56">
        <f t="shared" si="2"/>
        <v>31</v>
      </c>
      <c r="F13" s="56">
        <f t="shared" si="3"/>
        <v>100</v>
      </c>
      <c r="G13" s="46">
        <f t="shared" si="4"/>
        <v>65</v>
      </c>
      <c r="H13" s="56">
        <f t="shared" si="5"/>
        <v>49</v>
      </c>
      <c r="I13" s="56">
        <f t="shared" si="6"/>
        <v>0</v>
      </c>
      <c r="J13" s="56">
        <f t="shared" si="7"/>
        <v>0</v>
      </c>
      <c r="K13" s="56">
        <f t="shared" si="8"/>
        <v>0</v>
      </c>
      <c r="L13" s="56">
        <f t="shared" si="9"/>
        <v>90</v>
      </c>
      <c r="M13" s="46">
        <f t="shared" si="10"/>
        <v>28</v>
      </c>
      <c r="N13" s="56">
        <f t="shared" si="11"/>
        <v>37</v>
      </c>
      <c r="O13" s="56">
        <f t="shared" si="12"/>
        <v>81</v>
      </c>
      <c r="P13" s="56">
        <f t="shared" si="13"/>
        <v>0</v>
      </c>
      <c r="Q13" s="46">
        <f t="shared" si="14"/>
        <v>39</v>
      </c>
      <c r="R13" s="80"/>
      <c r="S13" s="37" t="s">
        <v>50</v>
      </c>
      <c r="T13" s="45" t="str">
        <f t="shared" si="15"/>
        <v>Mercedes-Benz</v>
      </c>
      <c r="U13" s="56">
        <f t="shared" si="16"/>
        <v>10</v>
      </c>
      <c r="V13" s="57">
        <f t="shared" si="17"/>
        <v>63</v>
      </c>
      <c r="W13" s="68">
        <f t="shared" si="18"/>
        <v>36</v>
      </c>
      <c r="X13" s="364"/>
      <c r="Y13" s="96"/>
      <c r="Z13" s="37" t="s">
        <v>15</v>
      </c>
      <c r="AA13" s="45" t="str">
        <f t="shared" si="19"/>
        <v>Toyota</v>
      </c>
      <c r="AB13" s="56">
        <f t="shared" si="20"/>
        <v>43</v>
      </c>
      <c r="AC13" s="56">
        <f t="shared" si="21"/>
        <v>35</v>
      </c>
      <c r="AD13" s="56">
        <f t="shared" si="22"/>
        <v>70</v>
      </c>
      <c r="AE13" s="56">
        <f t="shared" si="23"/>
        <v>6</v>
      </c>
      <c r="AF13" s="56">
        <f t="shared" si="24"/>
        <v>59</v>
      </c>
      <c r="AG13" s="68">
        <f t="shared" si="25"/>
        <v>43</v>
      </c>
      <c r="AH13" s="364"/>
      <c r="AJ13" s="37" t="s">
        <v>53</v>
      </c>
      <c r="AK13" s="45" t="str">
        <f t="shared" si="26"/>
        <v>Chang'an</v>
      </c>
      <c r="AL13" s="56">
        <f t="shared" si="27"/>
        <v>68</v>
      </c>
      <c r="AM13" s="56">
        <f t="shared" si="28"/>
        <v>56</v>
      </c>
      <c r="AN13" s="56">
        <f t="shared" si="29"/>
        <v>0</v>
      </c>
      <c r="AO13" s="46">
        <f t="shared" si="30"/>
        <v>41</v>
      </c>
      <c r="AP13" s="364"/>
    </row>
    <row r="14" spans="1:42" ht="19">
      <c r="A14" s="37" t="s">
        <v>58</v>
      </c>
      <c r="B14" s="45" t="str">
        <f t="shared" si="0"/>
        <v>Great Wall</v>
      </c>
      <c r="C14" s="50">
        <f t="shared" si="1"/>
        <v>38.353025811965324</v>
      </c>
      <c r="D14" s="379"/>
      <c r="E14" s="56">
        <f t="shared" si="2"/>
        <v>10</v>
      </c>
      <c r="F14" s="56">
        <f t="shared" si="3"/>
        <v>75</v>
      </c>
      <c r="G14" s="46">
        <f t="shared" si="4"/>
        <v>43</v>
      </c>
      <c r="H14" s="56">
        <f t="shared" si="5"/>
        <v>55</v>
      </c>
      <c r="I14" s="56">
        <f t="shared" si="6"/>
        <v>15</v>
      </c>
      <c r="J14" s="56">
        <f t="shared" si="7"/>
        <v>30</v>
      </c>
      <c r="K14" s="56">
        <f t="shared" si="8"/>
        <v>0</v>
      </c>
      <c r="L14" s="56">
        <f t="shared" si="9"/>
        <v>100</v>
      </c>
      <c r="M14" s="46">
        <f t="shared" si="10"/>
        <v>40</v>
      </c>
      <c r="N14" s="56">
        <f t="shared" si="11"/>
        <v>92</v>
      </c>
      <c r="O14" s="56">
        <f t="shared" si="12"/>
        <v>5</v>
      </c>
      <c r="P14" s="56">
        <f t="shared" si="13"/>
        <v>0</v>
      </c>
      <c r="Q14" s="46">
        <f t="shared" si="14"/>
        <v>32</v>
      </c>
      <c r="R14" s="80"/>
      <c r="S14" s="37" t="s">
        <v>44</v>
      </c>
      <c r="T14" s="45" t="str">
        <f t="shared" si="15"/>
        <v>Hyundai-Kia</v>
      </c>
      <c r="U14" s="56">
        <f t="shared" si="16"/>
        <v>8</v>
      </c>
      <c r="V14" s="57">
        <f t="shared" si="17"/>
        <v>63</v>
      </c>
      <c r="W14" s="68">
        <f t="shared" si="18"/>
        <v>35</v>
      </c>
      <c r="X14" s="365"/>
      <c r="Y14" s="96"/>
      <c r="Z14" s="37" t="s">
        <v>59</v>
      </c>
      <c r="AA14" s="45" t="str">
        <f t="shared" si="19"/>
        <v>Tata</v>
      </c>
      <c r="AB14" s="56">
        <f t="shared" si="20"/>
        <v>87</v>
      </c>
      <c r="AC14" s="56">
        <f t="shared" si="21"/>
        <v>3</v>
      </c>
      <c r="AD14" s="56">
        <f t="shared" si="22"/>
        <v>21</v>
      </c>
      <c r="AE14" s="56">
        <f t="shared" si="23"/>
        <v>6</v>
      </c>
      <c r="AF14" s="56">
        <f t="shared" si="24"/>
        <v>87</v>
      </c>
      <c r="AG14" s="68">
        <f t="shared" si="25"/>
        <v>41</v>
      </c>
      <c r="AH14" s="364"/>
      <c r="AJ14" s="37" t="s">
        <v>45</v>
      </c>
      <c r="AK14" s="45" t="str">
        <f t="shared" si="26"/>
        <v>SAIC</v>
      </c>
      <c r="AL14" s="56">
        <f t="shared" si="27"/>
        <v>37</v>
      </c>
      <c r="AM14" s="56">
        <f t="shared" si="28"/>
        <v>81</v>
      </c>
      <c r="AN14" s="56">
        <f t="shared" si="29"/>
        <v>0</v>
      </c>
      <c r="AO14" s="46">
        <f t="shared" si="30"/>
        <v>39</v>
      </c>
      <c r="AP14" s="364"/>
    </row>
    <row r="15" spans="1:42" ht="19">
      <c r="A15" s="37" t="s">
        <v>54</v>
      </c>
      <c r="B15" s="45" t="str">
        <f t="shared" si="0"/>
        <v>Ford</v>
      </c>
      <c r="C15" s="50">
        <f t="shared" si="1"/>
        <v>37.756751026611383</v>
      </c>
      <c r="D15" s="379"/>
      <c r="E15" s="56">
        <f t="shared" si="2"/>
        <v>4</v>
      </c>
      <c r="F15" s="56">
        <f t="shared" si="3"/>
        <v>25</v>
      </c>
      <c r="G15" s="46">
        <f t="shared" si="4"/>
        <v>14</v>
      </c>
      <c r="H15" s="56">
        <f t="shared" si="5"/>
        <v>26</v>
      </c>
      <c r="I15" s="56">
        <f t="shared" si="6"/>
        <v>49</v>
      </c>
      <c r="J15" s="56">
        <f t="shared" si="7"/>
        <v>95</v>
      </c>
      <c r="K15" s="56">
        <f t="shared" si="8"/>
        <v>14</v>
      </c>
      <c r="L15" s="56">
        <f t="shared" si="9"/>
        <v>91</v>
      </c>
      <c r="M15" s="46">
        <f t="shared" si="10"/>
        <v>55</v>
      </c>
      <c r="N15" s="56">
        <f t="shared" si="11"/>
        <v>96</v>
      </c>
      <c r="O15" s="56">
        <f t="shared" si="12"/>
        <v>36</v>
      </c>
      <c r="P15" s="56">
        <f t="shared" si="13"/>
        <v>0</v>
      </c>
      <c r="Q15" s="46">
        <f t="shared" si="14"/>
        <v>44</v>
      </c>
      <c r="R15" s="80"/>
      <c r="S15" s="37" t="s">
        <v>55</v>
      </c>
      <c r="T15" s="45" t="str">
        <f t="shared" si="15"/>
        <v>Nissan</v>
      </c>
      <c r="U15" s="56">
        <f t="shared" si="16"/>
        <v>4</v>
      </c>
      <c r="V15" s="57">
        <f t="shared" si="17"/>
        <v>63</v>
      </c>
      <c r="W15" s="68">
        <f t="shared" si="18"/>
        <v>33</v>
      </c>
      <c r="X15" s="366" t="s">
        <v>60</v>
      </c>
      <c r="Y15" s="96"/>
      <c r="Z15" s="37" t="s">
        <v>58</v>
      </c>
      <c r="AA15" s="45" t="str">
        <f t="shared" si="19"/>
        <v>Great Wall</v>
      </c>
      <c r="AB15" s="56">
        <f t="shared" si="20"/>
        <v>55</v>
      </c>
      <c r="AC15" s="56">
        <f t="shared" si="21"/>
        <v>15</v>
      </c>
      <c r="AD15" s="56">
        <f t="shared" si="22"/>
        <v>30</v>
      </c>
      <c r="AE15" s="56">
        <f t="shared" si="23"/>
        <v>0</v>
      </c>
      <c r="AF15" s="56">
        <f t="shared" si="24"/>
        <v>100</v>
      </c>
      <c r="AG15" s="68">
        <f t="shared" si="25"/>
        <v>40</v>
      </c>
      <c r="AH15" s="364"/>
      <c r="AJ15" s="37" t="s">
        <v>49</v>
      </c>
      <c r="AK15" s="45" t="str">
        <f t="shared" si="26"/>
        <v>Geely</v>
      </c>
      <c r="AL15" s="56">
        <f t="shared" si="27"/>
        <v>71</v>
      </c>
      <c r="AM15" s="56">
        <f t="shared" si="28"/>
        <v>46</v>
      </c>
      <c r="AN15" s="56">
        <f t="shared" si="29"/>
        <v>0</v>
      </c>
      <c r="AO15" s="46">
        <f t="shared" si="30"/>
        <v>39</v>
      </c>
      <c r="AP15" s="364"/>
    </row>
    <row r="16" spans="1:42" ht="19">
      <c r="A16" s="37" t="s">
        <v>44</v>
      </c>
      <c r="B16" s="45" t="str">
        <f t="shared" si="0"/>
        <v>Hyundai-Kia</v>
      </c>
      <c r="C16" s="50">
        <f t="shared" si="1"/>
        <v>37.724028232197945</v>
      </c>
      <c r="D16" s="379"/>
      <c r="E16" s="56">
        <f t="shared" si="2"/>
        <v>8</v>
      </c>
      <c r="F16" s="56">
        <f t="shared" si="3"/>
        <v>63</v>
      </c>
      <c r="G16" s="46">
        <f t="shared" si="4"/>
        <v>35</v>
      </c>
      <c r="H16" s="56">
        <f t="shared" si="5"/>
        <v>32</v>
      </c>
      <c r="I16" s="56">
        <f t="shared" si="6"/>
        <v>75</v>
      </c>
      <c r="J16" s="56">
        <f t="shared" si="7"/>
        <v>73</v>
      </c>
      <c r="K16" s="56">
        <f t="shared" si="8"/>
        <v>11</v>
      </c>
      <c r="L16" s="56">
        <f t="shared" si="9"/>
        <v>100</v>
      </c>
      <c r="M16" s="46">
        <f t="shared" si="10"/>
        <v>58</v>
      </c>
      <c r="N16" s="56">
        <f t="shared" si="11"/>
        <v>39</v>
      </c>
      <c r="O16" s="56">
        <f t="shared" si="12"/>
        <v>20</v>
      </c>
      <c r="P16" s="56">
        <f t="shared" si="13"/>
        <v>0</v>
      </c>
      <c r="Q16" s="46">
        <f t="shared" si="14"/>
        <v>20</v>
      </c>
      <c r="R16" s="80"/>
      <c r="S16" s="37" t="s">
        <v>15</v>
      </c>
      <c r="T16" s="45" t="str">
        <f t="shared" si="15"/>
        <v>Toyota</v>
      </c>
      <c r="U16" s="56">
        <f t="shared" si="16"/>
        <v>1</v>
      </c>
      <c r="V16" s="57">
        <f t="shared" si="17"/>
        <v>63</v>
      </c>
      <c r="W16" s="68">
        <f t="shared" si="18"/>
        <v>32</v>
      </c>
      <c r="X16" s="367"/>
      <c r="Y16" s="96"/>
      <c r="Z16" s="37" t="s">
        <v>48</v>
      </c>
      <c r="AA16" s="45" t="str">
        <f t="shared" si="19"/>
        <v>Stellantis</v>
      </c>
      <c r="AB16" s="56">
        <f t="shared" si="20"/>
        <v>28</v>
      </c>
      <c r="AC16" s="56">
        <f t="shared" si="21"/>
        <v>36</v>
      </c>
      <c r="AD16" s="56">
        <f t="shared" si="22"/>
        <v>28</v>
      </c>
      <c r="AE16" s="56">
        <f t="shared" si="23"/>
        <v>0</v>
      </c>
      <c r="AF16" s="56">
        <f t="shared" si="24"/>
        <v>98</v>
      </c>
      <c r="AG16" s="68">
        <f t="shared" si="25"/>
        <v>38</v>
      </c>
      <c r="AH16" s="364"/>
      <c r="AJ16" s="37" t="s">
        <v>58</v>
      </c>
      <c r="AK16" s="45" t="str">
        <f t="shared" si="26"/>
        <v>Great Wall</v>
      </c>
      <c r="AL16" s="56">
        <f t="shared" si="27"/>
        <v>92</v>
      </c>
      <c r="AM16" s="56">
        <f t="shared" si="28"/>
        <v>5</v>
      </c>
      <c r="AN16" s="56">
        <f t="shared" si="29"/>
        <v>0</v>
      </c>
      <c r="AO16" s="46">
        <f t="shared" si="30"/>
        <v>32</v>
      </c>
      <c r="AP16" s="365"/>
    </row>
    <row r="17" spans="1:42" ht="19">
      <c r="A17" s="37" t="s">
        <v>53</v>
      </c>
      <c r="B17" s="45" t="str">
        <f t="shared" si="0"/>
        <v>Chang'an</v>
      </c>
      <c r="C17" s="50">
        <f t="shared" si="1"/>
        <v>35.545485530368111</v>
      </c>
      <c r="D17" s="380"/>
      <c r="E17" s="56">
        <f t="shared" si="2"/>
        <v>16</v>
      </c>
      <c r="F17" s="56">
        <f t="shared" si="3"/>
        <v>88</v>
      </c>
      <c r="G17" s="46">
        <f t="shared" si="4"/>
        <v>52</v>
      </c>
      <c r="H17" s="56">
        <f t="shared" si="5"/>
        <v>45</v>
      </c>
      <c r="I17" s="56">
        <f t="shared" si="6"/>
        <v>4</v>
      </c>
      <c r="J17" s="56">
        <f t="shared" si="7"/>
        <v>19</v>
      </c>
      <c r="K17" s="56">
        <f t="shared" si="8"/>
        <v>0</v>
      </c>
      <c r="L17" s="56">
        <f t="shared" si="9"/>
        <v>0</v>
      </c>
      <c r="M17" s="46">
        <f t="shared" si="10"/>
        <v>13</v>
      </c>
      <c r="N17" s="56">
        <f t="shared" si="11"/>
        <v>68</v>
      </c>
      <c r="O17" s="56">
        <f t="shared" si="12"/>
        <v>56</v>
      </c>
      <c r="P17" s="56">
        <f t="shared" si="13"/>
        <v>0</v>
      </c>
      <c r="Q17" s="46">
        <f t="shared" si="14"/>
        <v>41</v>
      </c>
      <c r="R17" s="80"/>
      <c r="S17" s="37" t="s">
        <v>43</v>
      </c>
      <c r="T17" s="45" t="str">
        <f t="shared" si="15"/>
        <v>BMW</v>
      </c>
      <c r="U17" s="56">
        <f t="shared" si="16"/>
        <v>12</v>
      </c>
      <c r="V17" s="57">
        <f t="shared" si="17"/>
        <v>50</v>
      </c>
      <c r="W17" s="68">
        <f t="shared" si="18"/>
        <v>31</v>
      </c>
      <c r="X17" s="367"/>
      <c r="Y17" s="96"/>
      <c r="Z17" s="37" t="s">
        <v>46</v>
      </c>
      <c r="AA17" s="45" t="str">
        <f t="shared" si="19"/>
        <v>Renault</v>
      </c>
      <c r="AB17" s="56">
        <f t="shared" si="20"/>
        <v>49</v>
      </c>
      <c r="AC17" s="56">
        <f t="shared" si="21"/>
        <v>13</v>
      </c>
      <c r="AD17" s="56">
        <f t="shared" si="22"/>
        <v>32</v>
      </c>
      <c r="AE17" s="56">
        <f t="shared" si="23"/>
        <v>0</v>
      </c>
      <c r="AF17" s="56">
        <f t="shared" si="24"/>
        <v>90</v>
      </c>
      <c r="AG17" s="68">
        <f t="shared" si="25"/>
        <v>37</v>
      </c>
      <c r="AH17" s="365"/>
      <c r="AJ17" s="37" t="s">
        <v>51</v>
      </c>
      <c r="AK17" s="45" t="str">
        <f t="shared" si="26"/>
        <v>Honda</v>
      </c>
      <c r="AL17" s="56">
        <f t="shared" si="27"/>
        <v>73</v>
      </c>
      <c r="AM17" s="56">
        <f t="shared" si="28"/>
        <v>24</v>
      </c>
      <c r="AN17" s="56">
        <f t="shared" si="29"/>
        <v>0</v>
      </c>
      <c r="AO17" s="46">
        <f t="shared" si="30"/>
        <v>32</v>
      </c>
      <c r="AP17" s="366" t="s">
        <v>60</v>
      </c>
    </row>
    <row r="18" spans="1:42" ht="19">
      <c r="A18" s="37" t="s">
        <v>15</v>
      </c>
      <c r="B18" s="45" t="str">
        <f t="shared" si="0"/>
        <v>Toyota</v>
      </c>
      <c r="C18" s="50">
        <f t="shared" si="1"/>
        <v>29.816047128030814</v>
      </c>
      <c r="D18" s="381" t="s">
        <v>60</v>
      </c>
      <c r="E18" s="56">
        <f t="shared" si="2"/>
        <v>1</v>
      </c>
      <c r="F18" s="56">
        <f t="shared" si="3"/>
        <v>63</v>
      </c>
      <c r="G18" s="46">
        <f t="shared" si="4"/>
        <v>32</v>
      </c>
      <c r="H18" s="56">
        <f t="shared" si="5"/>
        <v>43</v>
      </c>
      <c r="I18" s="56">
        <f t="shared" si="6"/>
        <v>35</v>
      </c>
      <c r="J18" s="56">
        <f t="shared" si="7"/>
        <v>70</v>
      </c>
      <c r="K18" s="56">
        <f t="shared" si="8"/>
        <v>6</v>
      </c>
      <c r="L18" s="56">
        <f t="shared" si="9"/>
        <v>59</v>
      </c>
      <c r="M18" s="46">
        <f t="shared" si="10"/>
        <v>43</v>
      </c>
      <c r="N18" s="56">
        <f t="shared" si="11"/>
        <v>39</v>
      </c>
      <c r="O18" s="56">
        <f t="shared" si="12"/>
        <v>7</v>
      </c>
      <c r="P18" s="56">
        <f t="shared" si="13"/>
        <v>0</v>
      </c>
      <c r="Q18" s="46">
        <f t="shared" si="14"/>
        <v>15</v>
      </c>
      <c r="R18" s="80"/>
      <c r="S18" s="37" t="s">
        <v>52</v>
      </c>
      <c r="T18" s="45" t="str">
        <f t="shared" si="15"/>
        <v>GM</v>
      </c>
      <c r="U18" s="56">
        <f t="shared" si="16"/>
        <v>2</v>
      </c>
      <c r="V18" s="57">
        <f t="shared" si="17"/>
        <v>38</v>
      </c>
      <c r="W18" s="68">
        <f t="shared" si="18"/>
        <v>20</v>
      </c>
      <c r="X18" s="367"/>
      <c r="Y18" s="96"/>
      <c r="Z18" s="37" t="s">
        <v>51</v>
      </c>
      <c r="AA18" s="45" t="str">
        <f t="shared" si="19"/>
        <v>Honda</v>
      </c>
      <c r="AB18" s="56">
        <f t="shared" si="20"/>
        <v>51</v>
      </c>
      <c r="AC18" s="56">
        <f t="shared" si="21"/>
        <v>26</v>
      </c>
      <c r="AD18" s="56">
        <f t="shared" si="22"/>
        <v>52</v>
      </c>
      <c r="AE18" s="56">
        <f t="shared" si="23"/>
        <v>0</v>
      </c>
      <c r="AF18" s="56">
        <f t="shared" si="24"/>
        <v>32</v>
      </c>
      <c r="AG18" s="68">
        <f t="shared" si="25"/>
        <v>32</v>
      </c>
      <c r="AH18" s="366" t="s">
        <v>60</v>
      </c>
      <c r="AJ18" s="37" t="s">
        <v>55</v>
      </c>
      <c r="AK18" s="45" t="str">
        <f t="shared" si="26"/>
        <v>Nissan</v>
      </c>
      <c r="AL18" s="56">
        <f t="shared" si="27"/>
        <v>60</v>
      </c>
      <c r="AM18" s="56">
        <f t="shared" si="28"/>
        <v>24</v>
      </c>
      <c r="AN18" s="56">
        <f t="shared" si="29"/>
        <v>7</v>
      </c>
      <c r="AO18" s="46">
        <f t="shared" si="30"/>
        <v>31</v>
      </c>
      <c r="AP18" s="367"/>
    </row>
    <row r="19" spans="1:42" ht="19">
      <c r="A19" s="37" t="s">
        <v>51</v>
      </c>
      <c r="B19" s="45" t="str">
        <f t="shared" si="0"/>
        <v>Honda</v>
      </c>
      <c r="C19" s="50">
        <f t="shared" si="1"/>
        <v>27.803810545655949</v>
      </c>
      <c r="D19" s="382"/>
      <c r="E19" s="56">
        <f t="shared" si="2"/>
        <v>0</v>
      </c>
      <c r="F19" s="56">
        <f t="shared" si="3"/>
        <v>38</v>
      </c>
      <c r="G19" s="46">
        <f t="shared" si="4"/>
        <v>19</v>
      </c>
      <c r="H19" s="56">
        <f t="shared" si="5"/>
        <v>51</v>
      </c>
      <c r="I19" s="56">
        <f t="shared" si="6"/>
        <v>26</v>
      </c>
      <c r="J19" s="56">
        <f t="shared" si="7"/>
        <v>52</v>
      </c>
      <c r="K19" s="56">
        <f t="shared" si="8"/>
        <v>0</v>
      </c>
      <c r="L19" s="56">
        <f t="shared" si="9"/>
        <v>32</v>
      </c>
      <c r="M19" s="46">
        <f t="shared" si="10"/>
        <v>32</v>
      </c>
      <c r="N19" s="56">
        <f t="shared" si="11"/>
        <v>73</v>
      </c>
      <c r="O19" s="56">
        <f t="shared" si="12"/>
        <v>24</v>
      </c>
      <c r="P19" s="56">
        <f t="shared" si="13"/>
        <v>0</v>
      </c>
      <c r="Q19" s="46">
        <f t="shared" si="14"/>
        <v>32</v>
      </c>
      <c r="R19" s="80"/>
      <c r="S19" s="37" t="s">
        <v>51</v>
      </c>
      <c r="T19" s="45" t="str">
        <f t="shared" si="15"/>
        <v>Honda</v>
      </c>
      <c r="U19" s="56">
        <f t="shared" si="16"/>
        <v>0</v>
      </c>
      <c r="V19" s="57">
        <f t="shared" si="17"/>
        <v>38</v>
      </c>
      <c r="W19" s="68">
        <f t="shared" si="18"/>
        <v>19</v>
      </c>
      <c r="X19" s="367"/>
      <c r="Y19" s="96"/>
      <c r="Z19" s="37" t="s">
        <v>45</v>
      </c>
      <c r="AA19" s="45" t="str">
        <f t="shared" si="19"/>
        <v>SAIC</v>
      </c>
      <c r="AB19" s="56">
        <f t="shared" si="20"/>
        <v>49</v>
      </c>
      <c r="AC19" s="56">
        <f t="shared" si="21"/>
        <v>0</v>
      </c>
      <c r="AD19" s="56">
        <f t="shared" si="22"/>
        <v>0</v>
      </c>
      <c r="AE19" s="56">
        <f t="shared" si="23"/>
        <v>0</v>
      </c>
      <c r="AF19" s="56">
        <f t="shared" si="24"/>
        <v>90</v>
      </c>
      <c r="AG19" s="68">
        <f t="shared" si="25"/>
        <v>28</v>
      </c>
      <c r="AH19" s="367"/>
      <c r="AJ19" s="37" t="s">
        <v>59</v>
      </c>
      <c r="AK19" s="45" t="str">
        <f t="shared" si="26"/>
        <v>Tata</v>
      </c>
      <c r="AL19" s="56">
        <f t="shared" si="27"/>
        <v>52</v>
      </c>
      <c r="AM19" s="56">
        <f t="shared" si="28"/>
        <v>18</v>
      </c>
      <c r="AN19" s="56">
        <f t="shared" si="29"/>
        <v>0</v>
      </c>
      <c r="AO19" s="46">
        <f t="shared" si="30"/>
        <v>23</v>
      </c>
      <c r="AP19" s="367"/>
    </row>
    <row r="20" spans="1:42" ht="19">
      <c r="A20" s="37" t="s">
        <v>55</v>
      </c>
      <c r="B20" s="45" t="str">
        <f t="shared" si="0"/>
        <v>Nissan</v>
      </c>
      <c r="C20" s="50">
        <f t="shared" si="1"/>
        <v>27.355971644954092</v>
      </c>
      <c r="D20" s="382"/>
      <c r="E20" s="56">
        <f t="shared" si="2"/>
        <v>4</v>
      </c>
      <c r="F20" s="56">
        <f t="shared" si="3"/>
        <v>63</v>
      </c>
      <c r="G20" s="46">
        <f t="shared" si="4"/>
        <v>33</v>
      </c>
      <c r="H20" s="56">
        <f t="shared" si="5"/>
        <v>19</v>
      </c>
      <c r="I20" s="56">
        <f t="shared" si="6"/>
        <v>12</v>
      </c>
      <c r="J20" s="56">
        <f t="shared" si="7"/>
        <v>29</v>
      </c>
      <c r="K20" s="56">
        <f t="shared" si="8"/>
        <v>0</v>
      </c>
      <c r="L20" s="56">
        <f t="shared" si="9"/>
        <v>31</v>
      </c>
      <c r="M20" s="46">
        <f t="shared" si="10"/>
        <v>18</v>
      </c>
      <c r="N20" s="56">
        <f t="shared" si="11"/>
        <v>60</v>
      </c>
      <c r="O20" s="56">
        <f t="shared" si="12"/>
        <v>24</v>
      </c>
      <c r="P20" s="56">
        <f t="shared" si="13"/>
        <v>7</v>
      </c>
      <c r="Q20" s="46">
        <f t="shared" si="14"/>
        <v>31</v>
      </c>
      <c r="R20" s="80"/>
      <c r="S20" s="37" t="s">
        <v>59</v>
      </c>
      <c r="T20" s="45" t="str">
        <f t="shared" si="15"/>
        <v>Tata</v>
      </c>
      <c r="U20" s="56">
        <f t="shared" si="16"/>
        <v>6</v>
      </c>
      <c r="V20" s="57">
        <f t="shared" si="17"/>
        <v>25</v>
      </c>
      <c r="W20" s="68">
        <f t="shared" si="18"/>
        <v>15</v>
      </c>
      <c r="X20" s="367"/>
      <c r="Y20" s="96"/>
      <c r="Z20" s="37" t="s">
        <v>55</v>
      </c>
      <c r="AA20" s="45" t="str">
        <f t="shared" si="19"/>
        <v>Nissan</v>
      </c>
      <c r="AB20" s="56">
        <f t="shared" si="20"/>
        <v>19</v>
      </c>
      <c r="AC20" s="56">
        <f t="shared" si="21"/>
        <v>12</v>
      </c>
      <c r="AD20" s="56">
        <f t="shared" si="22"/>
        <v>29</v>
      </c>
      <c r="AE20" s="56">
        <f t="shared" si="23"/>
        <v>0</v>
      </c>
      <c r="AF20" s="56">
        <f t="shared" si="24"/>
        <v>31</v>
      </c>
      <c r="AG20" s="68">
        <f t="shared" si="25"/>
        <v>18</v>
      </c>
      <c r="AH20" s="367"/>
      <c r="AJ20" s="37" t="s">
        <v>44</v>
      </c>
      <c r="AK20" s="45" t="str">
        <f t="shared" si="26"/>
        <v>Hyundai-Kia</v>
      </c>
      <c r="AL20" s="56">
        <f t="shared" si="27"/>
        <v>39</v>
      </c>
      <c r="AM20" s="56">
        <f t="shared" si="28"/>
        <v>20</v>
      </c>
      <c r="AN20" s="56">
        <f t="shared" si="29"/>
        <v>0</v>
      </c>
      <c r="AO20" s="46">
        <f t="shared" si="30"/>
        <v>20</v>
      </c>
      <c r="AP20" s="367"/>
    </row>
    <row r="21" spans="1:42" ht="19">
      <c r="A21" s="37" t="s">
        <v>59</v>
      </c>
      <c r="B21" s="45" t="str">
        <f t="shared" si="0"/>
        <v>Tata</v>
      </c>
      <c r="C21" s="50">
        <f t="shared" si="1"/>
        <v>26.592314343270697</v>
      </c>
      <c r="D21" s="382"/>
      <c r="E21" s="56">
        <f t="shared" si="2"/>
        <v>6</v>
      </c>
      <c r="F21" s="56">
        <f t="shared" si="3"/>
        <v>25</v>
      </c>
      <c r="G21" s="46">
        <f t="shared" si="4"/>
        <v>15</v>
      </c>
      <c r="H21" s="56">
        <f t="shared" si="5"/>
        <v>87</v>
      </c>
      <c r="I21" s="56">
        <f t="shared" si="6"/>
        <v>3</v>
      </c>
      <c r="J21" s="56">
        <f t="shared" si="7"/>
        <v>21</v>
      </c>
      <c r="K21" s="56">
        <f t="shared" si="8"/>
        <v>6</v>
      </c>
      <c r="L21" s="56">
        <f t="shared" si="9"/>
        <v>87</v>
      </c>
      <c r="M21" s="46">
        <f t="shared" si="10"/>
        <v>41</v>
      </c>
      <c r="N21" s="56">
        <f t="shared" si="11"/>
        <v>52</v>
      </c>
      <c r="O21" s="56">
        <f t="shared" si="12"/>
        <v>18</v>
      </c>
      <c r="P21" s="56">
        <f t="shared" si="13"/>
        <v>0</v>
      </c>
      <c r="Q21" s="46">
        <f t="shared" si="14"/>
        <v>23</v>
      </c>
      <c r="R21" s="80"/>
      <c r="S21" s="37" t="s">
        <v>54</v>
      </c>
      <c r="T21" s="45" t="str">
        <f t="shared" si="15"/>
        <v>Ford</v>
      </c>
      <c r="U21" s="56">
        <f t="shared" si="16"/>
        <v>4</v>
      </c>
      <c r="V21" s="57">
        <f t="shared" si="17"/>
        <v>25</v>
      </c>
      <c r="W21" s="68">
        <f t="shared" si="18"/>
        <v>14</v>
      </c>
      <c r="X21" s="367"/>
      <c r="Y21" s="96"/>
      <c r="Z21" s="37" t="s">
        <v>53</v>
      </c>
      <c r="AA21" s="45" t="str">
        <f t="shared" si="19"/>
        <v>Chang'an</v>
      </c>
      <c r="AB21" s="56">
        <f t="shared" si="20"/>
        <v>45</v>
      </c>
      <c r="AC21" s="56">
        <f t="shared" si="21"/>
        <v>4</v>
      </c>
      <c r="AD21" s="56">
        <f t="shared" si="22"/>
        <v>19</v>
      </c>
      <c r="AE21" s="56">
        <f t="shared" si="23"/>
        <v>0</v>
      </c>
      <c r="AF21" s="56">
        <f t="shared" si="24"/>
        <v>0</v>
      </c>
      <c r="AG21" s="68">
        <f t="shared" si="25"/>
        <v>13</v>
      </c>
      <c r="AH21" s="367"/>
      <c r="AJ21" s="37" t="s">
        <v>63</v>
      </c>
      <c r="AK21" s="45" t="str">
        <f t="shared" si="26"/>
        <v>Mazda</v>
      </c>
      <c r="AL21" s="56">
        <f t="shared" si="27"/>
        <v>30</v>
      </c>
      <c r="AM21" s="56">
        <f t="shared" si="28"/>
        <v>25</v>
      </c>
      <c r="AN21" s="56">
        <f t="shared" si="29"/>
        <v>0</v>
      </c>
      <c r="AO21" s="46">
        <f t="shared" si="30"/>
        <v>18</v>
      </c>
      <c r="AP21" s="367"/>
    </row>
    <row r="22" spans="1:42" ht="19">
      <c r="A22" s="37" t="s">
        <v>63</v>
      </c>
      <c r="B22" s="45" t="str">
        <f t="shared" si="0"/>
        <v>Mazda</v>
      </c>
      <c r="C22" s="50">
        <f t="shared" si="1"/>
        <v>9.8727083585332593</v>
      </c>
      <c r="D22" s="382"/>
      <c r="E22" s="56">
        <f t="shared" si="2"/>
        <v>1</v>
      </c>
      <c r="F22" s="56">
        <f t="shared" si="3"/>
        <v>13</v>
      </c>
      <c r="G22" s="46">
        <f t="shared" si="4"/>
        <v>7</v>
      </c>
      <c r="H22" s="56">
        <f t="shared" si="5"/>
        <v>0</v>
      </c>
      <c r="I22" s="56">
        <f t="shared" si="6"/>
        <v>19</v>
      </c>
      <c r="J22" s="56">
        <f t="shared" si="7"/>
        <v>3</v>
      </c>
      <c r="K22" s="56">
        <f t="shared" si="8"/>
        <v>0</v>
      </c>
      <c r="L22" s="56">
        <f t="shared" si="9"/>
        <v>0</v>
      </c>
      <c r="M22" s="46">
        <f t="shared" si="10"/>
        <v>4</v>
      </c>
      <c r="N22" s="56">
        <f t="shared" si="11"/>
        <v>30</v>
      </c>
      <c r="O22" s="56">
        <f t="shared" si="12"/>
        <v>25</v>
      </c>
      <c r="P22" s="56">
        <f t="shared" si="13"/>
        <v>0</v>
      </c>
      <c r="Q22" s="46">
        <f t="shared" si="14"/>
        <v>18</v>
      </c>
      <c r="R22" s="80"/>
      <c r="S22" s="37" t="s">
        <v>63</v>
      </c>
      <c r="T22" s="45" t="str">
        <f t="shared" si="15"/>
        <v>Mazda</v>
      </c>
      <c r="U22" s="56">
        <f t="shared" si="16"/>
        <v>1</v>
      </c>
      <c r="V22" s="57">
        <f t="shared" si="17"/>
        <v>13</v>
      </c>
      <c r="W22" s="68">
        <f t="shared" si="18"/>
        <v>7</v>
      </c>
      <c r="X22" s="367"/>
      <c r="Y22" s="96"/>
      <c r="Z22" s="37" t="s">
        <v>63</v>
      </c>
      <c r="AA22" s="45" t="str">
        <f t="shared" si="19"/>
        <v>Mazda</v>
      </c>
      <c r="AB22" s="58">
        <f t="shared" si="20"/>
        <v>0</v>
      </c>
      <c r="AC22" s="59">
        <f t="shared" si="21"/>
        <v>19</v>
      </c>
      <c r="AD22" s="59">
        <f t="shared" si="22"/>
        <v>3</v>
      </c>
      <c r="AE22" s="56">
        <f t="shared" si="23"/>
        <v>0</v>
      </c>
      <c r="AF22" s="56">
        <f t="shared" si="24"/>
        <v>0</v>
      </c>
      <c r="AG22" s="68">
        <f t="shared" si="25"/>
        <v>4</v>
      </c>
      <c r="AH22" s="367"/>
      <c r="AJ22" s="37" t="s">
        <v>15</v>
      </c>
      <c r="AK22" s="45" t="str">
        <f t="shared" si="26"/>
        <v>Toyota</v>
      </c>
      <c r="AL22" s="56">
        <f t="shared" si="27"/>
        <v>39</v>
      </c>
      <c r="AM22" s="56">
        <f t="shared" si="28"/>
        <v>7</v>
      </c>
      <c r="AN22" s="56">
        <f t="shared" si="29"/>
        <v>0</v>
      </c>
      <c r="AO22" s="46">
        <f t="shared" si="30"/>
        <v>15</v>
      </c>
      <c r="AP22" s="367"/>
    </row>
    <row r="23" spans="1:42" ht="19">
      <c r="A23" s="37" t="s">
        <v>57</v>
      </c>
      <c r="B23" s="45" t="str">
        <f t="shared" si="0"/>
        <v>Suzuki</v>
      </c>
      <c r="C23" s="50">
        <f t="shared" si="1"/>
        <v>0</v>
      </c>
      <c r="D23" s="383"/>
      <c r="E23" s="56">
        <f t="shared" si="2"/>
        <v>0</v>
      </c>
      <c r="F23" s="56">
        <f t="shared" si="3"/>
        <v>0</v>
      </c>
      <c r="G23" s="46">
        <f t="shared" si="4"/>
        <v>0</v>
      </c>
      <c r="H23" s="56" t="s">
        <v>64</v>
      </c>
      <c r="I23" s="56" t="s">
        <v>64</v>
      </c>
      <c r="J23" s="56" t="s">
        <v>64</v>
      </c>
      <c r="K23" s="56">
        <f>ROUND(_xlfn.XLOOKUP($A23,$B$50:$B$69,H$50:H$69),0)</f>
        <v>0</v>
      </c>
      <c r="L23" s="56">
        <f>ROUND(_xlfn.XLOOKUP($A23,$B$50:$B$69,I$50:I$69),0)</f>
        <v>0</v>
      </c>
      <c r="M23" s="46">
        <f t="shared" si="10"/>
        <v>0</v>
      </c>
      <c r="N23" s="56">
        <f t="shared" si="11"/>
        <v>0</v>
      </c>
      <c r="O23" s="56">
        <f t="shared" si="12"/>
        <v>0</v>
      </c>
      <c r="P23" s="56">
        <f t="shared" si="13"/>
        <v>0</v>
      </c>
      <c r="Q23" s="46">
        <f t="shared" si="14"/>
        <v>0</v>
      </c>
      <c r="R23" s="80"/>
      <c r="S23" s="37" t="s">
        <v>57</v>
      </c>
      <c r="T23" s="45" t="str">
        <f t="shared" si="15"/>
        <v>Suzuki</v>
      </c>
      <c r="U23" s="64">
        <f t="shared" si="16"/>
        <v>0</v>
      </c>
      <c r="V23" s="65">
        <f t="shared" si="17"/>
        <v>0</v>
      </c>
      <c r="W23" s="69">
        <f t="shared" si="18"/>
        <v>0</v>
      </c>
      <c r="X23" s="368"/>
      <c r="Y23" s="96"/>
      <c r="Z23" s="37" t="s">
        <v>57</v>
      </c>
      <c r="AA23" s="45" t="str">
        <f t="shared" si="19"/>
        <v>Suzuki</v>
      </c>
      <c r="AB23" s="64" t="s">
        <v>64</v>
      </c>
      <c r="AC23" s="64" t="s">
        <v>64</v>
      </c>
      <c r="AD23" s="64" t="s">
        <v>64</v>
      </c>
      <c r="AE23" s="64">
        <f>ROUND(_xlfn.XLOOKUP($Z23,$B$50:$B$71,H$50:H$71),0)</f>
        <v>0</v>
      </c>
      <c r="AF23" s="64">
        <f>ROUND(_xlfn.XLOOKUP($Z23,$B$50:$B$71,I$50:I$71),0)</f>
        <v>0</v>
      </c>
      <c r="AG23" s="69">
        <f t="shared" si="25"/>
        <v>0</v>
      </c>
      <c r="AH23" s="368"/>
      <c r="AJ23" s="37" t="s">
        <v>57</v>
      </c>
      <c r="AK23" s="45" t="str">
        <f t="shared" si="26"/>
        <v>Suzuki</v>
      </c>
      <c r="AL23" s="64">
        <f t="shared" si="27"/>
        <v>0</v>
      </c>
      <c r="AM23" s="64">
        <f t="shared" si="28"/>
        <v>0</v>
      </c>
      <c r="AN23" s="64">
        <f t="shared" si="29"/>
        <v>0</v>
      </c>
      <c r="AO23" s="66">
        <f t="shared" si="30"/>
        <v>0</v>
      </c>
      <c r="AP23" s="368"/>
    </row>
    <row r="25" spans="1:42" ht="17" thickBot="1">
      <c r="B25" s="48" t="s">
        <v>21</v>
      </c>
    </row>
    <row r="26" spans="1:42" ht="34" customHeight="1" thickTop="1">
      <c r="B26" s="28" t="s">
        <v>8</v>
      </c>
      <c r="C26" s="15" t="s">
        <v>12</v>
      </c>
      <c r="D26" s="16" t="s">
        <v>13</v>
      </c>
      <c r="E26" s="17" t="s">
        <v>14</v>
      </c>
      <c r="F26" s="28" t="s">
        <v>9</v>
      </c>
      <c r="K26" s="37" t="s">
        <v>10</v>
      </c>
      <c r="L26" s="37"/>
      <c r="O26" s="78"/>
      <c r="P26" s="75"/>
      <c r="Q26" s="76"/>
      <c r="R26" s="75"/>
      <c r="S26" s="75"/>
      <c r="T26" s="78"/>
      <c r="U26" s="356"/>
      <c r="V26" s="356"/>
      <c r="W26" s="357"/>
      <c r="X26" s="49"/>
    </row>
    <row r="27" spans="1:42" ht="18" customHeight="1">
      <c r="B27" s="19" t="s">
        <v>15</v>
      </c>
      <c r="C27" s="26">
        <f t="shared" ref="C27:C46" si="31">AVERAGE(C50:D50)</f>
        <v>31.598018969874808</v>
      </c>
      <c r="D27" s="27">
        <f t="shared" ref="D27:D46" si="32">AVERAGE(E50:I50)</f>
        <v>42.591093922335766</v>
      </c>
      <c r="E27" s="73">
        <f t="shared" ref="E27:E46" si="33">AVERAGE(J50:L50)</f>
        <v>15.259028491881869</v>
      </c>
      <c r="F27" s="25">
        <f t="shared" ref="F27:F46" si="34">AVERAGE(C27:E27)</f>
        <v>29.816047128030814</v>
      </c>
      <c r="K27" s="37" t="s">
        <v>16</v>
      </c>
      <c r="L27" s="37" t="s">
        <v>16</v>
      </c>
    </row>
    <row r="28" spans="1:42">
      <c r="B28" s="19" t="s">
        <v>41</v>
      </c>
      <c r="C28" s="26">
        <f t="shared" si="31"/>
        <v>48.532996224478602</v>
      </c>
      <c r="D28" s="27">
        <f t="shared" si="32"/>
        <v>63.098435090003512</v>
      </c>
      <c r="E28" s="73">
        <f t="shared" si="33"/>
        <v>47.044242681536616</v>
      </c>
      <c r="F28" s="25">
        <f t="shared" si="34"/>
        <v>52.891891332006246</v>
      </c>
      <c r="K28" s="37" t="s">
        <v>42</v>
      </c>
      <c r="L28" s="37" t="s">
        <v>42</v>
      </c>
    </row>
    <row r="29" spans="1:42">
      <c r="B29" s="19" t="s">
        <v>44</v>
      </c>
      <c r="C29" s="26">
        <f t="shared" si="31"/>
        <v>35.156849330944731</v>
      </c>
      <c r="D29" s="27">
        <f t="shared" si="32"/>
        <v>58.292752890777194</v>
      </c>
      <c r="E29" s="73">
        <f t="shared" si="33"/>
        <v>19.722482474871892</v>
      </c>
      <c r="F29" s="25">
        <f t="shared" si="34"/>
        <v>37.724028232197945</v>
      </c>
      <c r="K29" s="37" t="s">
        <v>45</v>
      </c>
      <c r="L29" s="37" t="s">
        <v>45</v>
      </c>
    </row>
    <row r="30" spans="1:42">
      <c r="B30" s="19" t="s">
        <v>48</v>
      </c>
      <c r="C30" s="26">
        <f t="shared" si="31"/>
        <v>47.858832933527971</v>
      </c>
      <c r="D30" s="27">
        <f t="shared" si="32"/>
        <v>38.035713999116219</v>
      </c>
      <c r="E30" s="73">
        <f t="shared" si="33"/>
        <v>63.291443965184037</v>
      </c>
      <c r="F30" s="25">
        <f t="shared" si="34"/>
        <v>49.728663632609404</v>
      </c>
      <c r="K30" s="37" t="s">
        <v>49</v>
      </c>
      <c r="L30" s="37" t="s">
        <v>49</v>
      </c>
    </row>
    <row r="31" spans="1:42">
      <c r="B31" s="19" t="s">
        <v>51</v>
      </c>
      <c r="C31" s="26">
        <f t="shared" si="31"/>
        <v>18.970961375759082</v>
      </c>
      <c r="D31" s="27">
        <f t="shared" si="32"/>
        <v>32.218228200921295</v>
      </c>
      <c r="E31" s="25">
        <f t="shared" si="33"/>
        <v>32.222242060287464</v>
      </c>
      <c r="F31" s="25">
        <f t="shared" si="34"/>
        <v>27.803810545655949</v>
      </c>
      <c r="K31" s="37" t="s">
        <v>41</v>
      </c>
      <c r="L31" s="37" t="s">
        <v>41</v>
      </c>
    </row>
    <row r="32" spans="1:42">
      <c r="B32" s="19" t="s">
        <v>54</v>
      </c>
      <c r="C32" s="26">
        <f t="shared" si="31"/>
        <v>14.360488345155737</v>
      </c>
      <c r="D32" s="27">
        <f t="shared" si="32"/>
        <v>54.839965875627534</v>
      </c>
      <c r="E32" s="25">
        <f t="shared" si="33"/>
        <v>44.069798859050877</v>
      </c>
      <c r="F32" s="25">
        <f t="shared" si="34"/>
        <v>37.756751026611383</v>
      </c>
      <c r="K32" s="37" t="s">
        <v>48</v>
      </c>
      <c r="L32" s="37" t="s">
        <v>48</v>
      </c>
    </row>
    <row r="33" spans="2:12">
      <c r="B33" s="19" t="s">
        <v>52</v>
      </c>
      <c r="C33" s="26">
        <f t="shared" si="31"/>
        <v>19.934162199090402</v>
      </c>
      <c r="D33" s="27">
        <f t="shared" si="32"/>
        <v>51.968373844351405</v>
      </c>
      <c r="E33" s="25">
        <f t="shared" si="33"/>
        <v>62.897248130630601</v>
      </c>
      <c r="F33" s="25">
        <f t="shared" si="34"/>
        <v>44.933261391357469</v>
      </c>
      <c r="K33" s="37" t="s">
        <v>46</v>
      </c>
      <c r="L33" s="37" t="s">
        <v>46</v>
      </c>
    </row>
    <row r="34" spans="2:12">
      <c r="B34" s="19" t="s">
        <v>55</v>
      </c>
      <c r="C34" s="26">
        <f t="shared" si="31"/>
        <v>33.137810588979107</v>
      </c>
      <c r="D34" s="27">
        <f t="shared" si="32"/>
        <v>18.154457561608066</v>
      </c>
      <c r="E34" s="25">
        <f t="shared" si="33"/>
        <v>30.775646784275096</v>
      </c>
      <c r="F34" s="25">
        <f t="shared" si="34"/>
        <v>27.355971644954092</v>
      </c>
      <c r="K34" s="37" t="s">
        <v>53</v>
      </c>
      <c r="L34" s="37" t="s">
        <v>56</v>
      </c>
    </row>
    <row r="35" spans="2:12">
      <c r="B35" s="19" t="s">
        <v>57</v>
      </c>
      <c r="C35" s="26">
        <f t="shared" si="31"/>
        <v>0</v>
      </c>
      <c r="D35" s="27">
        <f t="shared" si="32"/>
        <v>0</v>
      </c>
      <c r="E35" s="25">
        <f t="shared" si="33"/>
        <v>0</v>
      </c>
      <c r="F35" s="25">
        <f t="shared" si="34"/>
        <v>0</v>
      </c>
      <c r="K35" s="37" t="s">
        <v>58</v>
      </c>
      <c r="L35" s="37" t="s">
        <v>58</v>
      </c>
    </row>
    <row r="36" spans="2:12">
      <c r="B36" s="19" t="s">
        <v>49</v>
      </c>
      <c r="C36" s="26">
        <f t="shared" si="31"/>
        <v>55.084065513360315</v>
      </c>
      <c r="D36" s="27">
        <f t="shared" si="32"/>
        <v>50.806367950577972</v>
      </c>
      <c r="E36" s="25">
        <f t="shared" si="33"/>
        <v>39.011779139015921</v>
      </c>
      <c r="F36" s="25">
        <f t="shared" si="34"/>
        <v>48.300737534318067</v>
      </c>
      <c r="K36" s="37" t="s">
        <v>50</v>
      </c>
      <c r="L36" s="37" t="s">
        <v>50</v>
      </c>
    </row>
    <row r="37" spans="2:12">
      <c r="B37" s="19" t="s">
        <v>43</v>
      </c>
      <c r="C37" s="26">
        <f t="shared" si="31"/>
        <v>31.1131874914444</v>
      </c>
      <c r="D37" s="27">
        <f t="shared" si="32"/>
        <v>78.499061275387831</v>
      </c>
      <c r="E37" s="25">
        <f t="shared" si="33"/>
        <v>57.271215259206606</v>
      </c>
      <c r="F37" s="25">
        <f t="shared" si="34"/>
        <v>55.627821342012943</v>
      </c>
      <c r="K37" s="37" t="s">
        <v>55</v>
      </c>
      <c r="L37" s="37" t="s">
        <v>55</v>
      </c>
    </row>
    <row r="38" spans="2:12">
      <c r="B38" s="19" t="s">
        <v>50</v>
      </c>
      <c r="C38" s="26">
        <f t="shared" si="31"/>
        <v>36.422732404883213</v>
      </c>
      <c r="D38" s="27">
        <f t="shared" si="32"/>
        <v>52.522728896654471</v>
      </c>
      <c r="E38" s="25">
        <f t="shared" si="33"/>
        <v>47.435595662568943</v>
      </c>
      <c r="F38" s="25">
        <f t="shared" si="34"/>
        <v>45.460352321368873</v>
      </c>
      <c r="K38" s="37" t="s">
        <v>43</v>
      </c>
      <c r="L38" s="37" t="s">
        <v>43</v>
      </c>
    </row>
    <row r="39" spans="2:12">
      <c r="B39" s="19" t="s">
        <v>45</v>
      </c>
      <c r="C39" s="26">
        <f t="shared" si="31"/>
        <v>65.380060986012126</v>
      </c>
      <c r="D39" s="27">
        <f t="shared" si="32"/>
        <v>27.872305346987343</v>
      </c>
      <c r="E39" s="25">
        <f t="shared" si="33"/>
        <v>39.110750997661931</v>
      </c>
      <c r="F39" s="25">
        <f t="shared" si="34"/>
        <v>44.121039110220465</v>
      </c>
      <c r="K39" s="37" t="s">
        <v>15</v>
      </c>
      <c r="L39" s="37" t="s">
        <v>15</v>
      </c>
    </row>
    <row r="40" spans="2:12">
      <c r="B40" s="19" t="s">
        <v>46</v>
      </c>
      <c r="C40" s="26">
        <f t="shared" si="31"/>
        <v>43.064332932016178</v>
      </c>
      <c r="D40" s="27">
        <f t="shared" si="32"/>
        <v>36.754490080416858</v>
      </c>
      <c r="E40" s="25">
        <f t="shared" si="33"/>
        <v>60.723571805890799</v>
      </c>
      <c r="F40" s="25">
        <f t="shared" si="34"/>
        <v>46.847464939441274</v>
      </c>
      <c r="K40" s="37" t="s">
        <v>44</v>
      </c>
      <c r="L40" s="37" t="s">
        <v>61</v>
      </c>
    </row>
    <row r="41" spans="2:12">
      <c r="B41" s="19" t="s">
        <v>53</v>
      </c>
      <c r="C41" s="26">
        <f t="shared" si="31"/>
        <v>51.881636401642908</v>
      </c>
      <c r="D41" s="27">
        <f t="shared" si="32"/>
        <v>13.493892620651232</v>
      </c>
      <c r="E41" s="25">
        <f t="shared" si="33"/>
        <v>41.260927568810189</v>
      </c>
      <c r="F41" s="25">
        <f t="shared" si="34"/>
        <v>35.545485530368111</v>
      </c>
      <c r="K41" s="37" t="s">
        <v>54</v>
      </c>
      <c r="L41" s="37" t="s">
        <v>54</v>
      </c>
    </row>
    <row r="42" spans="2:12">
      <c r="B42" s="19" t="s">
        <v>16</v>
      </c>
      <c r="C42" s="26">
        <f t="shared" si="31"/>
        <v>78.059893716953013</v>
      </c>
      <c r="D42" s="27">
        <f t="shared" si="32"/>
        <v>57.00807384283879</v>
      </c>
      <c r="E42" s="25">
        <f t="shared" si="33"/>
        <v>82.719789567227863</v>
      </c>
      <c r="F42" s="25">
        <f t="shared" si="34"/>
        <v>72.595919042339901</v>
      </c>
      <c r="K42" s="37" t="s">
        <v>52</v>
      </c>
      <c r="L42" s="37" t="s">
        <v>52</v>
      </c>
    </row>
    <row r="43" spans="2:12">
      <c r="B43" s="19" t="s">
        <v>17</v>
      </c>
      <c r="C43" s="26">
        <f t="shared" si="31"/>
        <v>68.75</v>
      </c>
      <c r="D43" s="27">
        <f t="shared" si="32"/>
        <v>80</v>
      </c>
      <c r="E43" s="25">
        <f t="shared" si="33"/>
        <v>100</v>
      </c>
      <c r="F43" s="25">
        <f t="shared" si="34"/>
        <v>82.916666666666671</v>
      </c>
      <c r="K43" s="37" t="s">
        <v>51</v>
      </c>
      <c r="L43" s="37" t="s">
        <v>51</v>
      </c>
    </row>
    <row r="44" spans="2:12">
      <c r="B44" s="19" t="s">
        <v>59</v>
      </c>
      <c r="C44" s="26">
        <f t="shared" si="31"/>
        <v>15.457977896381131</v>
      </c>
      <c r="D44" s="27">
        <f t="shared" si="32"/>
        <v>41.013039670191816</v>
      </c>
      <c r="E44" s="25">
        <f t="shared" si="33"/>
        <v>23.305925463239145</v>
      </c>
      <c r="F44" s="25">
        <f t="shared" si="34"/>
        <v>26.592314343270697</v>
      </c>
      <c r="K44" s="37" t="s">
        <v>59</v>
      </c>
      <c r="L44" s="37" t="s">
        <v>62</v>
      </c>
    </row>
    <row r="45" spans="2:12">
      <c r="B45" s="19" t="s">
        <v>58</v>
      </c>
      <c r="C45" s="26">
        <f t="shared" si="31"/>
        <v>42.714309392298745</v>
      </c>
      <c r="D45" s="27">
        <f t="shared" si="32"/>
        <v>40.091805399555689</v>
      </c>
      <c r="E45" s="25">
        <f t="shared" si="33"/>
        <v>32.252962644041524</v>
      </c>
      <c r="F45" s="25">
        <f t="shared" si="34"/>
        <v>38.353025811965324</v>
      </c>
      <c r="K45" s="37" t="s">
        <v>63</v>
      </c>
      <c r="L45" s="37" t="s">
        <v>63</v>
      </c>
    </row>
    <row r="46" spans="2:12">
      <c r="B46" s="19" t="s">
        <v>63</v>
      </c>
      <c r="C46" s="26">
        <f t="shared" si="31"/>
        <v>6.9703004166733908</v>
      </c>
      <c r="D46" s="27">
        <f t="shared" si="32"/>
        <v>4.3525529844748085</v>
      </c>
      <c r="E46" s="25">
        <f t="shared" si="33"/>
        <v>18.29527167445158</v>
      </c>
      <c r="F46" s="25">
        <f t="shared" si="34"/>
        <v>9.8727083585332593</v>
      </c>
      <c r="K46" s="37" t="s">
        <v>57</v>
      </c>
      <c r="L46" s="37" t="s">
        <v>57</v>
      </c>
    </row>
    <row r="47" spans="2:12">
      <c r="B47"/>
      <c r="C47"/>
      <c r="D47"/>
      <c r="E47"/>
      <c r="F47"/>
    </row>
    <row r="48" spans="2:12">
      <c r="B48" s="229" t="s">
        <v>427</v>
      </c>
      <c r="C48"/>
      <c r="D48"/>
      <c r="E48"/>
      <c r="F48"/>
    </row>
    <row r="49" spans="2:45" ht="36" customHeight="1">
      <c r="B49" s="225" t="s">
        <v>8</v>
      </c>
      <c r="C49" s="230" t="s">
        <v>19</v>
      </c>
      <c r="D49" s="230" t="s">
        <v>65</v>
      </c>
      <c r="E49" s="231" t="s">
        <v>22</v>
      </c>
      <c r="F49" s="231" t="s">
        <v>66</v>
      </c>
      <c r="G49" s="231" t="s">
        <v>67</v>
      </c>
      <c r="H49" s="231" t="s">
        <v>4</v>
      </c>
      <c r="I49" s="231" t="s">
        <v>5</v>
      </c>
      <c r="J49" s="232" t="s">
        <v>7</v>
      </c>
      <c r="K49" s="232" t="s">
        <v>28</v>
      </c>
      <c r="L49" s="233" t="s">
        <v>68</v>
      </c>
      <c r="AH49" s="47"/>
      <c r="AI49" s="47"/>
    </row>
    <row r="50" spans="2:45" ht="17" customHeight="1">
      <c r="B50" s="198" t="s">
        <v>15</v>
      </c>
      <c r="C50" s="199">
        <f t="shared" ref="C50:D69" si="35">IF(C73="", "N/A",(C73-MIN(C$73:C$92))/(MAX(C$73:C$92)-MIN(C$73:C$92))*100)</f>
        <v>0.69603793974961514</v>
      </c>
      <c r="D50" s="199">
        <f t="shared" si="35"/>
        <v>62.5</v>
      </c>
      <c r="E50" s="199">
        <f t="shared" ref="E50:E69" si="36">(IF(E73="","N/A",(MAX($E$73:$E$92)-E73)/(MAX($E$73:$E$92)-MIN($E$73:$E$92))*100))</f>
        <v>42.553191489361701</v>
      </c>
      <c r="F50" s="199">
        <f t="shared" ref="F50:L59" si="37">IF(F73="", "N/A",(F73-MIN(F$73:F$92))/(MAX(F$73:F$92)-MIN(F$73:F$92))*100)</f>
        <v>35.064935064935064</v>
      </c>
      <c r="G50" s="199">
        <f t="shared" si="37"/>
        <v>70.358306188925084</v>
      </c>
      <c r="H50" s="199">
        <f t="shared" si="37"/>
        <v>6.4374765589440148</v>
      </c>
      <c r="I50" s="199">
        <f t="shared" si="37"/>
        <v>58.541560309512974</v>
      </c>
      <c r="J50" s="199">
        <f t="shared" si="37"/>
        <v>38.692137664630728</v>
      </c>
      <c r="K50" s="199">
        <f t="shared" si="37"/>
        <v>7.0849478110148745</v>
      </c>
      <c r="L50" s="199">
        <f t="shared" si="37"/>
        <v>0</v>
      </c>
      <c r="AH50" s="47"/>
      <c r="AI50" s="47"/>
    </row>
    <row r="51" spans="2:45" ht="17" customHeight="1">
      <c r="B51" s="198" t="s">
        <v>41</v>
      </c>
      <c r="C51" s="199">
        <f t="shared" si="35"/>
        <v>9.565992448957207</v>
      </c>
      <c r="D51" s="199">
        <f t="shared" si="35"/>
        <v>87.5</v>
      </c>
      <c r="E51" s="199">
        <f t="shared" si="36"/>
        <v>59.574468085106382</v>
      </c>
      <c r="F51" s="199">
        <f t="shared" si="37"/>
        <v>50.649350649350644</v>
      </c>
      <c r="G51" s="199">
        <f t="shared" si="37"/>
        <v>81.758957654723133</v>
      </c>
      <c r="H51" s="199">
        <f t="shared" si="37"/>
        <v>74.503133020279137</v>
      </c>
      <c r="I51" s="199">
        <f t="shared" si="37"/>
        <v>49.006266040558266</v>
      </c>
      <c r="J51" s="199">
        <f t="shared" si="37"/>
        <v>91.595745383520651</v>
      </c>
      <c r="K51" s="199">
        <f t="shared" si="37"/>
        <v>23.224851316459819</v>
      </c>
      <c r="L51" s="199">
        <f t="shared" si="37"/>
        <v>26.312131344629368</v>
      </c>
    </row>
    <row r="52" spans="2:45">
      <c r="B52" s="198" t="s">
        <v>44</v>
      </c>
      <c r="C52" s="199">
        <f t="shared" si="35"/>
        <v>7.8136986618894566</v>
      </c>
      <c r="D52" s="199">
        <f t="shared" si="35"/>
        <v>62.5</v>
      </c>
      <c r="E52" s="199">
        <f t="shared" si="36"/>
        <v>31.914893617021278</v>
      </c>
      <c r="F52" s="199">
        <f t="shared" si="37"/>
        <v>75.324675324675326</v>
      </c>
      <c r="G52" s="199">
        <f t="shared" si="37"/>
        <v>72.964169381107496</v>
      </c>
      <c r="H52" s="199">
        <f t="shared" si="37"/>
        <v>11.260026131081865</v>
      </c>
      <c r="I52" s="199">
        <f t="shared" si="37"/>
        <v>100</v>
      </c>
      <c r="J52" s="199">
        <f t="shared" si="37"/>
        <v>38.680938942011963</v>
      </c>
      <c r="K52" s="199">
        <f t="shared" si="37"/>
        <v>20.48650848260371</v>
      </c>
      <c r="L52" s="199">
        <f t="shared" si="37"/>
        <v>0</v>
      </c>
    </row>
    <row r="53" spans="2:45">
      <c r="B53" s="198" t="s">
        <v>48</v>
      </c>
      <c r="C53" s="199">
        <f t="shared" si="35"/>
        <v>8.2176658670559437</v>
      </c>
      <c r="D53" s="199">
        <f t="shared" si="35"/>
        <v>87.5</v>
      </c>
      <c r="E53" s="199">
        <f t="shared" si="36"/>
        <v>27.659574468085108</v>
      </c>
      <c r="F53" s="199">
        <f t="shared" si="37"/>
        <v>35.714285714285715</v>
      </c>
      <c r="G53" s="199">
        <f t="shared" si="37"/>
        <v>28.338762214983714</v>
      </c>
      <c r="H53" s="199">
        <f t="shared" si="37"/>
        <v>0</v>
      </c>
      <c r="I53" s="199">
        <f t="shared" si="37"/>
        <v>98.465947598226563</v>
      </c>
      <c r="J53" s="199">
        <f t="shared" si="37"/>
        <v>80.943591592803671</v>
      </c>
      <c r="K53" s="199">
        <f t="shared" si="37"/>
        <v>8.9307403027484256</v>
      </c>
      <c r="L53" s="199">
        <f t="shared" si="37"/>
        <v>100</v>
      </c>
      <c r="AD53" s="52"/>
      <c r="AG53" s="47"/>
      <c r="AH53" s="47"/>
      <c r="AI53" s="52"/>
      <c r="AJ53" s="47"/>
      <c r="AK53" s="47"/>
      <c r="AL53" s="47"/>
      <c r="AM53" s="47"/>
      <c r="AN53" s="47"/>
      <c r="AO53" s="52"/>
      <c r="AP53" s="47"/>
      <c r="AQ53" s="47"/>
      <c r="AR53" s="47"/>
      <c r="AS53" s="52"/>
    </row>
    <row r="54" spans="2:45">
      <c r="B54" s="198" t="s">
        <v>51</v>
      </c>
      <c r="C54" s="199">
        <f t="shared" si="35"/>
        <v>0.44192275151815974</v>
      </c>
      <c r="D54" s="199">
        <f t="shared" si="35"/>
        <v>37.5</v>
      </c>
      <c r="E54" s="199">
        <f t="shared" si="36"/>
        <v>51.063829787234042</v>
      </c>
      <c r="F54" s="199">
        <f t="shared" si="37"/>
        <v>25.97402597402597</v>
      </c>
      <c r="G54" s="199">
        <f t="shared" si="37"/>
        <v>51.791530944625407</v>
      </c>
      <c r="H54" s="199">
        <f t="shared" si="37"/>
        <v>0</v>
      </c>
      <c r="I54" s="199">
        <f t="shared" si="37"/>
        <v>32.261754298721051</v>
      </c>
      <c r="J54" s="199">
        <f t="shared" si="37"/>
        <v>72.632732911020142</v>
      </c>
      <c r="K54" s="199">
        <f t="shared" si="37"/>
        <v>24.033993269842238</v>
      </c>
      <c r="L54" s="199">
        <f t="shared" si="37"/>
        <v>0</v>
      </c>
      <c r="AD54" s="52"/>
      <c r="AG54" s="47"/>
      <c r="AH54" s="47"/>
      <c r="AI54" s="52"/>
      <c r="AJ54" s="47"/>
      <c r="AK54" s="47"/>
      <c r="AL54" s="47"/>
      <c r="AM54" s="47"/>
      <c r="AN54" s="47"/>
      <c r="AO54" s="52"/>
      <c r="AP54" s="47"/>
      <c r="AQ54" s="47"/>
      <c r="AR54" s="47"/>
      <c r="AS54" s="52"/>
    </row>
    <row r="55" spans="2:45">
      <c r="B55" s="198" t="s">
        <v>54</v>
      </c>
      <c r="C55" s="199">
        <f t="shared" si="35"/>
        <v>3.7209766903114749</v>
      </c>
      <c r="D55" s="199">
        <f t="shared" si="35"/>
        <v>25</v>
      </c>
      <c r="E55" s="199">
        <f t="shared" si="36"/>
        <v>25.531914893617021</v>
      </c>
      <c r="F55" s="199">
        <f t="shared" si="37"/>
        <v>48.701298701298704</v>
      </c>
      <c r="G55" s="199">
        <f t="shared" si="37"/>
        <v>95.114006514657973</v>
      </c>
      <c r="H55" s="199">
        <f t="shared" si="37"/>
        <v>13.783536088610596</v>
      </c>
      <c r="I55" s="199">
        <f t="shared" si="37"/>
        <v>91.069073179953421</v>
      </c>
      <c r="J55" s="199">
        <f t="shared" si="37"/>
        <v>95.982429129399691</v>
      </c>
      <c r="K55" s="199">
        <f t="shared" si="37"/>
        <v>36.226967447752934</v>
      </c>
      <c r="L55" s="199">
        <f t="shared" si="37"/>
        <v>0</v>
      </c>
      <c r="AD55" s="52"/>
      <c r="AG55" s="47"/>
      <c r="AH55" s="47"/>
      <c r="AI55" s="52"/>
      <c r="AJ55" s="47"/>
      <c r="AK55" s="47"/>
      <c r="AL55" s="47"/>
      <c r="AM55" s="47"/>
      <c r="AN55" s="47"/>
      <c r="AO55" s="52"/>
      <c r="AP55" s="47"/>
      <c r="AQ55" s="47"/>
      <c r="AR55" s="47"/>
      <c r="AS55" s="52"/>
    </row>
    <row r="56" spans="2:45">
      <c r="B56" s="198" t="s">
        <v>52</v>
      </c>
      <c r="C56" s="199">
        <f t="shared" si="35"/>
        <v>2.3683243981808042</v>
      </c>
      <c r="D56" s="199">
        <f t="shared" si="35"/>
        <v>37.5</v>
      </c>
      <c r="E56" s="199">
        <f t="shared" si="36"/>
        <v>53.191489361702125</v>
      </c>
      <c r="F56" s="199">
        <f t="shared" si="37"/>
        <v>30.519480519480517</v>
      </c>
      <c r="G56" s="199">
        <f t="shared" si="37"/>
        <v>77.524429967426713</v>
      </c>
      <c r="H56" s="199">
        <f t="shared" si="37"/>
        <v>0</v>
      </c>
      <c r="I56" s="199">
        <f t="shared" si="37"/>
        <v>98.606469373147661</v>
      </c>
      <c r="J56" s="199">
        <f t="shared" si="37"/>
        <v>95.982429129399691</v>
      </c>
      <c r="K56" s="199">
        <f t="shared" si="37"/>
        <v>35.744198983422351</v>
      </c>
      <c r="L56" s="199">
        <f t="shared" si="37"/>
        <v>56.965116279069761</v>
      </c>
      <c r="AD56" s="52"/>
      <c r="AG56" s="47"/>
      <c r="AH56" s="47"/>
      <c r="AI56" s="52"/>
      <c r="AJ56" s="47"/>
      <c r="AK56" s="47"/>
      <c r="AL56" s="47"/>
      <c r="AM56" s="47"/>
      <c r="AN56" s="47"/>
      <c r="AO56" s="52"/>
      <c r="AP56" s="47"/>
      <c r="AQ56" s="47"/>
      <c r="AR56" s="47"/>
      <c r="AS56" s="52"/>
    </row>
    <row r="57" spans="2:45">
      <c r="B57" s="198" t="s">
        <v>55</v>
      </c>
      <c r="C57" s="199">
        <f t="shared" si="35"/>
        <v>3.7756211779582145</v>
      </c>
      <c r="D57" s="199">
        <f t="shared" si="35"/>
        <v>62.5</v>
      </c>
      <c r="E57" s="199">
        <f t="shared" si="36"/>
        <v>19.148936170212767</v>
      </c>
      <c r="F57" s="199">
        <f t="shared" si="37"/>
        <v>11.688311688311687</v>
      </c>
      <c r="G57" s="199">
        <f t="shared" si="37"/>
        <v>28.990228013029316</v>
      </c>
      <c r="H57" s="199">
        <f t="shared" si="37"/>
        <v>0</v>
      </c>
      <c r="I57" s="199">
        <f t="shared" si="37"/>
        <v>30.944811936486559</v>
      </c>
      <c r="J57" s="199">
        <f t="shared" si="37"/>
        <v>60.456465100985511</v>
      </c>
      <c r="K57" s="199">
        <f t="shared" si="37"/>
        <v>24.382103158816516</v>
      </c>
      <c r="L57" s="199">
        <f t="shared" si="37"/>
        <v>7.4883720930232558</v>
      </c>
      <c r="AD57" s="52"/>
      <c r="AG57" s="47"/>
      <c r="AH57" s="47"/>
      <c r="AI57" s="52"/>
      <c r="AJ57" s="47"/>
      <c r="AK57" s="47"/>
      <c r="AL57" s="47"/>
      <c r="AM57" s="47"/>
      <c r="AN57" s="47"/>
      <c r="AO57" s="52"/>
      <c r="AP57" s="47"/>
      <c r="AQ57" s="47"/>
      <c r="AR57" s="47"/>
      <c r="AS57" s="52"/>
    </row>
    <row r="58" spans="2:45">
      <c r="B58" s="198" t="s">
        <v>57</v>
      </c>
      <c r="C58" s="199">
        <f t="shared" si="35"/>
        <v>0</v>
      </c>
      <c r="D58" s="199">
        <f t="shared" si="35"/>
        <v>0</v>
      </c>
      <c r="E58" s="306" t="str">
        <f t="shared" si="36"/>
        <v>N/A</v>
      </c>
      <c r="F58" s="306" t="str">
        <f t="shared" si="37"/>
        <v>N/A</v>
      </c>
      <c r="G58" s="306" t="str">
        <f t="shared" si="37"/>
        <v>N/A</v>
      </c>
      <c r="H58" s="199">
        <f t="shared" si="37"/>
        <v>0</v>
      </c>
      <c r="I58" s="199">
        <f t="shared" si="37"/>
        <v>0</v>
      </c>
      <c r="J58" s="199">
        <f t="shared" si="37"/>
        <v>0</v>
      </c>
      <c r="K58" s="199">
        <f t="shared" si="37"/>
        <v>0</v>
      </c>
      <c r="L58" s="199">
        <f t="shared" si="37"/>
        <v>0</v>
      </c>
      <c r="AD58" s="52"/>
      <c r="AG58" s="47"/>
      <c r="AH58" s="47"/>
      <c r="AI58" s="52"/>
      <c r="AJ58" s="47"/>
      <c r="AK58" s="47"/>
      <c r="AL58" s="47"/>
      <c r="AM58" s="47"/>
      <c r="AN58" s="47"/>
      <c r="AO58" s="52"/>
      <c r="AP58" s="47"/>
      <c r="AQ58" s="47"/>
      <c r="AR58" s="47"/>
      <c r="AS58" s="52"/>
    </row>
    <row r="59" spans="2:45">
      <c r="B59" s="198" t="s">
        <v>49</v>
      </c>
      <c r="C59" s="199">
        <f t="shared" si="35"/>
        <v>22.66813102672063</v>
      </c>
      <c r="D59" s="199">
        <f t="shared" si="35"/>
        <v>87.5</v>
      </c>
      <c r="E59" s="199">
        <f t="shared" si="36"/>
        <v>44.680851063829785</v>
      </c>
      <c r="F59" s="199">
        <f t="shared" si="37"/>
        <v>31.818181818181817</v>
      </c>
      <c r="G59" s="199">
        <f t="shared" si="37"/>
        <v>68.078175895765469</v>
      </c>
      <c r="H59" s="199">
        <f t="shared" si="37"/>
        <v>9.4546309751127868</v>
      </c>
      <c r="I59" s="199">
        <f t="shared" si="37"/>
        <v>100</v>
      </c>
      <c r="J59" s="199">
        <f t="shared" si="37"/>
        <v>71.110134505920882</v>
      </c>
      <c r="K59" s="199">
        <f t="shared" si="37"/>
        <v>45.925202911126881</v>
      </c>
      <c r="L59" s="199">
        <f t="shared" si="37"/>
        <v>0</v>
      </c>
      <c r="O59" s="77"/>
      <c r="AD59" s="52"/>
      <c r="AG59" s="47"/>
      <c r="AH59" s="47"/>
      <c r="AI59" s="52"/>
      <c r="AJ59" s="47"/>
      <c r="AK59" s="47"/>
      <c r="AL59" s="47"/>
      <c r="AM59" s="47"/>
      <c r="AN59" s="47"/>
      <c r="AO59" s="52"/>
      <c r="AP59" s="47"/>
      <c r="AQ59" s="47"/>
      <c r="AR59" s="47"/>
      <c r="AS59" s="52"/>
    </row>
    <row r="60" spans="2:45">
      <c r="B60" s="198" t="s">
        <v>43</v>
      </c>
      <c r="C60" s="199">
        <f t="shared" si="35"/>
        <v>12.226374982888803</v>
      </c>
      <c r="D60" s="199">
        <f t="shared" si="35"/>
        <v>50</v>
      </c>
      <c r="E60" s="199">
        <f t="shared" si="36"/>
        <v>72.340425531914903</v>
      </c>
      <c r="F60" s="199">
        <f t="shared" ref="F60:L69" si="38">IF(F83="", "N/A",(F83-MIN(F$73:F$92))/(MAX(F$73:F$92)-MIN(F$73:F$92))*100)</f>
        <v>51.94805194805194</v>
      </c>
      <c r="G60" s="199">
        <f t="shared" si="38"/>
        <v>75.895765472312704</v>
      </c>
      <c r="H60" s="199">
        <f t="shared" si="38"/>
        <v>100</v>
      </c>
      <c r="I60" s="199">
        <f t="shared" si="38"/>
        <v>92.311063424659608</v>
      </c>
      <c r="J60" s="199">
        <f t="shared" si="38"/>
        <v>71.67943589814027</v>
      </c>
      <c r="K60" s="199">
        <f t="shared" si="38"/>
        <v>19.901651739944683</v>
      </c>
      <c r="L60" s="199">
        <f t="shared" si="38"/>
        <v>80.232558139534873</v>
      </c>
      <c r="O60" s="52"/>
      <c r="AD60" s="52"/>
      <c r="AG60" s="47"/>
      <c r="AH60" s="47"/>
      <c r="AI60" s="52"/>
      <c r="AJ60" s="47"/>
      <c r="AK60" s="47"/>
      <c r="AL60" s="47"/>
      <c r="AM60" s="47"/>
      <c r="AN60" s="47"/>
      <c r="AO60" s="52"/>
      <c r="AP60" s="47"/>
      <c r="AQ60" s="47"/>
      <c r="AR60" s="47"/>
      <c r="AS60" s="52"/>
    </row>
    <row r="61" spans="2:45">
      <c r="B61" s="198" t="s">
        <v>50</v>
      </c>
      <c r="C61" s="199">
        <f t="shared" si="35"/>
        <v>10.345464809766426</v>
      </c>
      <c r="D61" s="199">
        <f t="shared" si="35"/>
        <v>62.5</v>
      </c>
      <c r="E61" s="199">
        <f t="shared" si="36"/>
        <v>55.319148936170215</v>
      </c>
      <c r="F61" s="199">
        <f t="shared" si="38"/>
        <v>40.909090909090914</v>
      </c>
      <c r="G61" s="199">
        <f t="shared" si="38"/>
        <v>72.964169381107496</v>
      </c>
      <c r="H61" s="199">
        <f t="shared" si="38"/>
        <v>50</v>
      </c>
      <c r="I61" s="199">
        <f t="shared" si="38"/>
        <v>43.421235256903763</v>
      </c>
      <c r="J61" s="199">
        <f t="shared" si="38"/>
        <v>95.982429129399691</v>
      </c>
      <c r="K61" s="199">
        <f t="shared" si="38"/>
        <v>34.289474137376914</v>
      </c>
      <c r="L61" s="199">
        <f t="shared" si="38"/>
        <v>12.03488372093023</v>
      </c>
      <c r="M61" s="71"/>
      <c r="O61" s="52"/>
      <c r="AD61" s="52"/>
      <c r="AG61" s="47"/>
      <c r="AH61" s="47"/>
      <c r="AI61" s="52"/>
      <c r="AJ61" s="47"/>
      <c r="AK61" s="47"/>
      <c r="AL61" s="47"/>
      <c r="AM61" s="47"/>
      <c r="AN61" s="47"/>
      <c r="AO61" s="52"/>
      <c r="AP61" s="47"/>
      <c r="AQ61" s="47"/>
      <c r="AR61" s="47"/>
      <c r="AS61" s="52"/>
    </row>
    <row r="62" spans="2:45">
      <c r="B62" s="198" t="s">
        <v>45</v>
      </c>
      <c r="C62" s="199">
        <f t="shared" si="35"/>
        <v>30.760121972024258</v>
      </c>
      <c r="D62" s="199">
        <f t="shared" si="35"/>
        <v>100</v>
      </c>
      <c r="E62" s="199">
        <f t="shared" si="36"/>
        <v>48.936170212765958</v>
      </c>
      <c r="F62" s="199">
        <f t="shared" si="38"/>
        <v>0</v>
      </c>
      <c r="G62" s="199">
        <f t="shared" si="38"/>
        <v>0</v>
      </c>
      <c r="H62" s="199">
        <f t="shared" si="38"/>
        <v>0</v>
      </c>
      <c r="I62" s="199">
        <f t="shared" si="38"/>
        <v>90.425356522170759</v>
      </c>
      <c r="J62" s="199">
        <f t="shared" si="38"/>
        <v>36.688339142630852</v>
      </c>
      <c r="K62" s="199">
        <f t="shared" si="38"/>
        <v>80.643913850354949</v>
      </c>
      <c r="L62" s="199">
        <f t="shared" si="38"/>
        <v>0</v>
      </c>
      <c r="M62" s="71"/>
      <c r="O62" s="52"/>
      <c r="AD62" s="52"/>
      <c r="AG62" s="47"/>
      <c r="AH62" s="47"/>
      <c r="AI62" s="52"/>
      <c r="AJ62" s="47"/>
      <c r="AK62" s="47"/>
      <c r="AL62" s="47"/>
      <c r="AM62" s="47"/>
      <c r="AN62" s="47"/>
      <c r="AO62" s="52"/>
      <c r="AP62" s="47"/>
      <c r="AQ62" s="47"/>
      <c r="AR62" s="47"/>
      <c r="AS62" s="52"/>
    </row>
    <row r="63" spans="2:45">
      <c r="B63" s="198" t="s">
        <v>46</v>
      </c>
      <c r="C63" s="199">
        <f t="shared" si="35"/>
        <v>11.12866586403236</v>
      </c>
      <c r="D63" s="199">
        <f t="shared" si="35"/>
        <v>75</v>
      </c>
      <c r="E63" s="199">
        <f t="shared" si="36"/>
        <v>48.936170212765958</v>
      </c>
      <c r="F63" s="199">
        <f t="shared" si="38"/>
        <v>12.987012987012985</v>
      </c>
      <c r="G63" s="199">
        <f t="shared" si="38"/>
        <v>32.247557003257327</v>
      </c>
      <c r="H63" s="199">
        <f t="shared" si="38"/>
        <v>0</v>
      </c>
      <c r="I63" s="199">
        <f t="shared" si="38"/>
        <v>89.601710199048014</v>
      </c>
      <c r="J63" s="199">
        <f t="shared" si="38"/>
        <v>100</v>
      </c>
      <c r="K63" s="199">
        <f t="shared" si="38"/>
        <v>44.902121541244853</v>
      </c>
      <c r="L63" s="199">
        <f t="shared" si="38"/>
        <v>37.268593876427524</v>
      </c>
      <c r="O63" s="52"/>
      <c r="AD63" s="52"/>
      <c r="AG63" s="47"/>
      <c r="AH63" s="47"/>
      <c r="AI63" s="52"/>
      <c r="AJ63" s="47"/>
      <c r="AK63" s="47"/>
      <c r="AL63" s="47"/>
      <c r="AM63" s="47"/>
      <c r="AN63" s="47"/>
      <c r="AO63" s="52"/>
      <c r="AP63" s="47"/>
      <c r="AQ63" s="47"/>
      <c r="AR63" s="47"/>
      <c r="AS63" s="52"/>
    </row>
    <row r="64" spans="2:45">
      <c r="B64" s="198" t="s">
        <v>53</v>
      </c>
      <c r="C64" s="199">
        <f t="shared" si="35"/>
        <v>16.263272803285808</v>
      </c>
      <c r="D64" s="199">
        <f t="shared" si="35"/>
        <v>87.5</v>
      </c>
      <c r="E64" s="199">
        <f t="shared" si="36"/>
        <v>44.680851063829785</v>
      </c>
      <c r="F64" s="199">
        <f t="shared" si="38"/>
        <v>3.8961038961038961</v>
      </c>
      <c r="G64" s="199">
        <f t="shared" si="38"/>
        <v>18.892508143322477</v>
      </c>
      <c r="H64" s="199">
        <f t="shared" si="38"/>
        <v>0</v>
      </c>
      <c r="I64" s="199">
        <f t="shared" si="38"/>
        <v>0</v>
      </c>
      <c r="J64" s="199">
        <f t="shared" si="38"/>
        <v>67.893492070229115</v>
      </c>
      <c r="K64" s="199">
        <f t="shared" si="38"/>
        <v>55.889290636201459</v>
      </c>
      <c r="L64" s="199">
        <f t="shared" si="38"/>
        <v>0</v>
      </c>
      <c r="O64" s="77"/>
      <c r="AD64" s="52"/>
      <c r="AG64" s="47"/>
      <c r="AH64" s="47"/>
      <c r="AI64" s="52"/>
      <c r="AJ64" s="47"/>
      <c r="AK64" s="47"/>
      <c r="AL64" s="47"/>
      <c r="AM64" s="47"/>
      <c r="AN64" s="47"/>
      <c r="AO64" s="52"/>
      <c r="AP64" s="47"/>
      <c r="AQ64" s="47"/>
      <c r="AR64" s="47"/>
      <c r="AS64" s="52"/>
    </row>
    <row r="65" spans="2:45">
      <c r="B65" s="198" t="s">
        <v>16</v>
      </c>
      <c r="C65" s="199">
        <f t="shared" si="35"/>
        <v>68.619787433906026</v>
      </c>
      <c r="D65" s="199">
        <f t="shared" si="35"/>
        <v>87.5</v>
      </c>
      <c r="E65" s="199">
        <f t="shared" si="36"/>
        <v>74.468085106382972</v>
      </c>
      <c r="F65" s="199">
        <f t="shared" si="38"/>
        <v>37.662337662337663</v>
      </c>
      <c r="G65" s="199">
        <f t="shared" si="38"/>
        <v>72.964169381107496</v>
      </c>
      <c r="H65" s="199">
        <f t="shared" si="38"/>
        <v>0</v>
      </c>
      <c r="I65" s="199">
        <f t="shared" si="38"/>
        <v>99.945777064365814</v>
      </c>
      <c r="J65" s="199">
        <f t="shared" si="38"/>
        <v>69.561791887532479</v>
      </c>
      <c r="K65" s="199">
        <f t="shared" si="38"/>
        <v>78.597576814151125</v>
      </c>
      <c r="L65" s="199">
        <f t="shared" si="38"/>
        <v>100</v>
      </c>
      <c r="O65" s="52"/>
      <c r="AD65" s="52"/>
      <c r="AG65" s="47"/>
      <c r="AH65" s="47"/>
      <c r="AI65" s="52"/>
      <c r="AJ65" s="47"/>
      <c r="AK65" s="47"/>
      <c r="AL65" s="47"/>
      <c r="AM65" s="47"/>
      <c r="AN65" s="47"/>
      <c r="AO65" s="52"/>
      <c r="AP65" s="47"/>
      <c r="AQ65" s="47"/>
      <c r="AR65" s="47"/>
      <c r="AS65" s="52"/>
    </row>
    <row r="66" spans="2:45">
      <c r="B66" s="198" t="s">
        <v>17</v>
      </c>
      <c r="C66" s="199">
        <f t="shared" si="35"/>
        <v>100</v>
      </c>
      <c r="D66" s="199">
        <f t="shared" si="35"/>
        <v>37.5</v>
      </c>
      <c r="E66" s="199">
        <f t="shared" si="36"/>
        <v>100</v>
      </c>
      <c r="F66" s="199">
        <f t="shared" si="38"/>
        <v>100</v>
      </c>
      <c r="G66" s="199">
        <f t="shared" si="38"/>
        <v>100</v>
      </c>
      <c r="H66" s="199">
        <f t="shared" si="38"/>
        <v>0</v>
      </c>
      <c r="I66" s="199">
        <f t="shared" si="38"/>
        <v>100</v>
      </c>
      <c r="J66" s="199">
        <f t="shared" si="38"/>
        <v>100</v>
      </c>
      <c r="K66" s="199">
        <f t="shared" si="38"/>
        <v>100</v>
      </c>
      <c r="L66" s="199">
        <f t="shared" si="38"/>
        <v>100</v>
      </c>
      <c r="M66" s="71"/>
      <c r="O66" s="52"/>
      <c r="AD66" s="52"/>
      <c r="AG66" s="47"/>
      <c r="AH66" s="47"/>
      <c r="AI66" s="52"/>
      <c r="AJ66" s="47"/>
      <c r="AK66" s="47"/>
      <c r="AL66" s="47"/>
      <c r="AM66" s="47"/>
      <c r="AN66" s="47"/>
      <c r="AO66" s="52"/>
      <c r="AP66" s="47"/>
      <c r="AQ66" s="47"/>
      <c r="AR66" s="47"/>
      <c r="AS66" s="52"/>
    </row>
    <row r="67" spans="2:45">
      <c r="B67" s="198" t="s">
        <v>59</v>
      </c>
      <c r="C67" s="199">
        <f t="shared" si="35"/>
        <v>5.9159557927622615</v>
      </c>
      <c r="D67" s="199">
        <f t="shared" si="35"/>
        <v>25</v>
      </c>
      <c r="E67" s="199">
        <f t="shared" si="36"/>
        <v>87.2340425531915</v>
      </c>
      <c r="F67" s="199">
        <f t="shared" si="38"/>
        <v>2.5974025974025974</v>
      </c>
      <c r="G67" s="199">
        <f t="shared" si="38"/>
        <v>21.498371335504888</v>
      </c>
      <c r="H67" s="199">
        <f t="shared" si="38"/>
        <v>6.3230388441395489</v>
      </c>
      <c r="I67" s="199">
        <f t="shared" si="38"/>
        <v>87.412343020720542</v>
      </c>
      <c r="J67" s="199">
        <f t="shared" si="38"/>
        <v>51.894471708722556</v>
      </c>
      <c r="K67" s="199">
        <f t="shared" si="38"/>
        <v>18.023304680994869</v>
      </c>
      <c r="L67" s="199">
        <f t="shared" si="38"/>
        <v>0</v>
      </c>
      <c r="O67" s="52"/>
      <c r="AD67" s="52"/>
      <c r="AG67" s="47"/>
      <c r="AH67" s="47"/>
      <c r="AI67" s="52"/>
      <c r="AJ67" s="47"/>
      <c r="AK67" s="47"/>
      <c r="AL67" s="47"/>
      <c r="AM67" s="47"/>
      <c r="AN67" s="47"/>
      <c r="AO67" s="52"/>
      <c r="AP67" s="47"/>
      <c r="AQ67" s="47"/>
      <c r="AR67" s="47"/>
      <c r="AS67" s="52"/>
    </row>
    <row r="68" spans="2:45">
      <c r="B68" s="198" t="s">
        <v>58</v>
      </c>
      <c r="C68" s="199">
        <f t="shared" si="35"/>
        <v>10.428618784597488</v>
      </c>
      <c r="D68" s="199">
        <f t="shared" si="35"/>
        <v>75</v>
      </c>
      <c r="E68" s="199">
        <f t="shared" si="36"/>
        <v>55.319148936170215</v>
      </c>
      <c r="F68" s="199">
        <f t="shared" si="38"/>
        <v>14.935064935064934</v>
      </c>
      <c r="G68" s="199">
        <f t="shared" si="38"/>
        <v>30.293159609120522</v>
      </c>
      <c r="H68" s="199">
        <f t="shared" si="38"/>
        <v>0</v>
      </c>
      <c r="I68" s="199">
        <f t="shared" si="38"/>
        <v>99.911653517422749</v>
      </c>
      <c r="J68" s="199">
        <f t="shared" si="38"/>
        <v>91.984846480045306</v>
      </c>
      <c r="K68" s="199">
        <f t="shared" si="38"/>
        <v>4.7740414520792713</v>
      </c>
      <c r="L68" s="199">
        <f t="shared" si="38"/>
        <v>0</v>
      </c>
      <c r="O68" s="52"/>
      <c r="AD68" s="52"/>
      <c r="AG68" s="47"/>
      <c r="AH68" s="47"/>
      <c r="AI68" s="52"/>
      <c r="AJ68" s="47"/>
      <c r="AK68" s="47"/>
      <c r="AL68" s="47"/>
      <c r="AM68" s="47"/>
      <c r="AN68" s="47"/>
      <c r="AO68" s="52"/>
      <c r="AP68" s="47"/>
      <c r="AQ68" s="47"/>
      <c r="AR68" s="47"/>
      <c r="AS68" s="52"/>
    </row>
    <row r="69" spans="2:45">
      <c r="B69" s="198" t="s">
        <v>63</v>
      </c>
      <c r="C69" s="199">
        <f t="shared" si="35"/>
        <v>1.4406008333467815</v>
      </c>
      <c r="D69" s="199">
        <f t="shared" si="35"/>
        <v>12.5</v>
      </c>
      <c r="E69" s="199">
        <f t="shared" si="36"/>
        <v>0</v>
      </c>
      <c r="F69" s="199">
        <f t="shared" si="38"/>
        <v>18.831168831168831</v>
      </c>
      <c r="G69" s="199">
        <f t="shared" si="38"/>
        <v>2.9315960912052117</v>
      </c>
      <c r="H69" s="199">
        <f t="shared" si="38"/>
        <v>0</v>
      </c>
      <c r="I69" s="199">
        <f t="shared" si="38"/>
        <v>0</v>
      </c>
      <c r="J69" s="199">
        <f t="shared" si="38"/>
        <v>30.228232550492756</v>
      </c>
      <c r="K69" s="199">
        <f t="shared" si="38"/>
        <v>24.657582472861982</v>
      </c>
      <c r="L69" s="199">
        <f t="shared" si="38"/>
        <v>0</v>
      </c>
      <c r="O69" s="52"/>
      <c r="AD69" s="52"/>
      <c r="AG69" s="47"/>
      <c r="AH69" s="47"/>
      <c r="AI69" s="52"/>
      <c r="AJ69" s="47"/>
      <c r="AK69" s="47"/>
      <c r="AL69" s="47"/>
      <c r="AM69" s="47"/>
      <c r="AN69" s="47"/>
      <c r="AO69" s="52"/>
      <c r="AP69" s="47"/>
      <c r="AQ69" s="47"/>
      <c r="AR69" s="47"/>
      <c r="AS69" s="52"/>
    </row>
    <row r="70" spans="2:45">
      <c r="B70" s="38"/>
      <c r="C70" s="228"/>
      <c r="D70" s="228"/>
      <c r="E70" s="228"/>
      <c r="F70" s="228"/>
      <c r="G70" s="228"/>
      <c r="H70" s="228"/>
      <c r="I70" s="228"/>
      <c r="J70" s="228"/>
      <c r="K70" s="228"/>
      <c r="L70" s="228"/>
      <c r="O70" s="52"/>
      <c r="AD70" s="52"/>
      <c r="AG70" s="47"/>
      <c r="AH70" s="47"/>
      <c r="AI70" s="52"/>
      <c r="AJ70" s="47"/>
      <c r="AK70" s="47"/>
      <c r="AL70" s="47"/>
      <c r="AM70" s="47"/>
      <c r="AN70" s="47"/>
      <c r="AO70" s="52"/>
      <c r="AP70" s="47"/>
      <c r="AQ70" s="47"/>
      <c r="AR70" s="47"/>
      <c r="AS70" s="52"/>
    </row>
    <row r="71" spans="2:45">
      <c r="B71" s="48" t="s">
        <v>428</v>
      </c>
      <c r="O71" s="77"/>
      <c r="AD71" s="52"/>
      <c r="AG71" s="47"/>
      <c r="AH71" s="47"/>
      <c r="AI71" s="52"/>
      <c r="AJ71" s="47"/>
      <c r="AK71" s="47"/>
      <c r="AL71" s="47"/>
      <c r="AM71" s="47"/>
      <c r="AN71" s="47"/>
      <c r="AO71" s="52"/>
      <c r="AP71" s="47"/>
      <c r="AQ71" s="47"/>
      <c r="AR71" s="47"/>
      <c r="AS71" s="52"/>
    </row>
    <row r="72" spans="2:45" ht="34">
      <c r="B72" s="225" t="s">
        <v>8</v>
      </c>
      <c r="C72" s="230" t="s">
        <v>19</v>
      </c>
      <c r="D72" s="230" t="s">
        <v>65</v>
      </c>
      <c r="E72" s="231" t="s">
        <v>22</v>
      </c>
      <c r="F72" s="231" t="s">
        <v>66</v>
      </c>
      <c r="G72" s="231" t="s">
        <v>67</v>
      </c>
      <c r="H72" s="231" t="s">
        <v>4</v>
      </c>
      <c r="I72" s="231" t="s">
        <v>5</v>
      </c>
      <c r="J72" s="232" t="s">
        <v>7</v>
      </c>
      <c r="K72" s="232" t="s">
        <v>28</v>
      </c>
      <c r="L72" s="233" t="s">
        <v>68</v>
      </c>
      <c r="M72" s="71"/>
      <c r="N72" s="93"/>
      <c r="O72" s="52"/>
    </row>
    <row r="73" spans="2:45">
      <c r="B73" s="194" t="s">
        <v>15</v>
      </c>
      <c r="C73" s="196">
        <f>_xlfn.XLOOKUP(B73,'ZEV market share'!$B$4:$B$23,'ZEV market share'!$L$4:$L$23)</f>
        <v>7.2925265996216801E-3</v>
      </c>
      <c r="D73" s="196">
        <f>_xlfn.XLOOKUP(B73,'Class coverage'!$B$4:$B$23,'Class coverage'!$K$4:$K$23)</f>
        <v>0.625</v>
      </c>
      <c r="E73" s="7">
        <f>_xlfn.XLOOKUP(B73,'Energy consumption'!$B$4:$B$23,'Energy consumption'!$K$4:$K$23)</f>
        <v>151</v>
      </c>
      <c r="F73" s="7">
        <f>_xlfn.XLOOKUP(B73,'Charging speed'!$B$4:$B$23,'Charging speed'!$G$4:$G$23)</f>
        <v>72</v>
      </c>
      <c r="G73" s="7">
        <f>_xlfn.XLOOKUP(B73,'Driving range'!$B$4:$B$23,'Driving range'!$K$4:$K$23)</f>
        <v>412</v>
      </c>
      <c r="H73" s="193">
        <f>_xlfn.XLOOKUP(B73,'Renewable energy'!$B$4:$B$31,'Renewable energy'!$P$4:$P$31)</f>
        <v>6.4374765589440148</v>
      </c>
      <c r="I73" s="193">
        <f>_xlfn.XLOOKUP(B73,'Battery recycling'!$B$3:$B$22,'Battery recycling'!$K$3:$K$22)</f>
        <v>58.541560309512974</v>
      </c>
      <c r="J73" s="195">
        <f>_xlfn.XLOOKUP(B73,'ZEV target'!$B$4:$B$38,'ZEV target'!$N$4:$N$38)</f>
        <v>0.41558441558441556</v>
      </c>
      <c r="K73" s="197">
        <f>_xlfn.XLOOKUP(B73,'ZEV investment'!$B$3:$B$22,'ZEV investment'!$G$3:$G$22)</f>
        <v>219.50217448792102</v>
      </c>
      <c r="L73" s="343">
        <f>IFERROR(_xlfn.XLOOKUP(B73,'Executive compensation'!$B$3:$B$22,'Executive compensation'!$L$3:$L$22),0)</f>
        <v>0</v>
      </c>
      <c r="N73" s="38"/>
      <c r="O73" s="52"/>
      <c r="P73" s="71"/>
      <c r="Q73" s="71"/>
      <c r="R73" s="71"/>
    </row>
    <row r="74" spans="2:45" ht="17" customHeight="1">
      <c r="B74" s="194" t="s">
        <v>41</v>
      </c>
      <c r="C74" s="196">
        <f>_xlfn.XLOOKUP(B74,'ZEV market share'!$B$4:$B$23,'ZEV market share'!$L$4:$L$23)</f>
        <v>9.5962403886787395E-2</v>
      </c>
      <c r="D74" s="196">
        <f>_xlfn.XLOOKUP(B74,'Class coverage'!$B$4:$B$23,'Class coverage'!$K$4:$K$23)</f>
        <v>0.875</v>
      </c>
      <c r="E74" s="7">
        <f>_xlfn.XLOOKUP(B74,'Energy consumption'!$B$4:$B$23,'Energy consumption'!$K$4:$K$23)</f>
        <v>143</v>
      </c>
      <c r="F74" s="7">
        <f>_xlfn.XLOOKUP(B74,'Charging speed'!$B$4:$B$23,'Charging speed'!$G$4:$G$23)</f>
        <v>96</v>
      </c>
      <c r="G74" s="7">
        <f>_xlfn.XLOOKUP(B74,'Driving range'!$B$4:$B$23,'Driving range'!$K$4:$K$23)</f>
        <v>447</v>
      </c>
      <c r="H74" s="193">
        <f>_xlfn.XLOOKUP(B74,'Renewable energy'!$B$4:$B$31,'Renewable energy'!$P$4:$P$31)</f>
        <v>74.503133020279137</v>
      </c>
      <c r="I74" s="193">
        <f>_xlfn.XLOOKUP(B74,'Battery recycling'!$B$3:$B$22,'Battery recycling'!$K$3:$K$22)</f>
        <v>49.006266040558266</v>
      </c>
      <c r="J74" s="195">
        <f>_xlfn.XLOOKUP(B74,'ZEV target'!$B$4:$B$38,'ZEV target'!$N$4:$N$38)</f>
        <v>0.98381135323071212</v>
      </c>
      <c r="K74" s="197">
        <f>_xlfn.XLOOKUP(B74,'ZEV investment'!$B$3:$B$22,'ZEV investment'!$G$3:$G$22)</f>
        <v>690.07602014207862</v>
      </c>
      <c r="L74" s="343">
        <f>IFERROR(_xlfn.XLOOKUP(B74,'Executive compensation'!$B$3:$B$22,'Executive compensation'!$L$3:$L$22),0)</f>
        <v>4.9192245557350571E-2</v>
      </c>
      <c r="M74" s="71"/>
      <c r="N74" s="93"/>
      <c r="O74" s="52"/>
      <c r="P74" s="71"/>
      <c r="Q74" s="71"/>
      <c r="R74" s="71"/>
    </row>
    <row r="75" spans="2:45">
      <c r="B75" s="194" t="s">
        <v>44</v>
      </c>
      <c r="C75" s="196">
        <f>_xlfn.XLOOKUP(B75,'ZEV market share'!$B$4:$B$23,'ZEV market share'!$L$4:$L$23)</f>
        <v>7.8445327005607204E-2</v>
      </c>
      <c r="D75" s="196">
        <f>_xlfn.XLOOKUP(B75,'Class coverage'!$B$4:$B$23,'Class coverage'!$K$4:$K$23)</f>
        <v>0.625</v>
      </c>
      <c r="E75" s="7">
        <f>_xlfn.XLOOKUP(B75,'Energy consumption'!$B$4:$B$23,'Energy consumption'!$K$4:$K$23)</f>
        <v>156</v>
      </c>
      <c r="F75" s="7">
        <f>_xlfn.XLOOKUP(B75,'Charging speed'!$B$4:$B$23,'Charging speed'!$G$4:$G$23)</f>
        <v>134</v>
      </c>
      <c r="G75" s="7">
        <f>_xlfn.XLOOKUP(B75,'Driving range'!$B$4:$B$23,'Driving range'!$K$4:$K$23)</f>
        <v>420</v>
      </c>
      <c r="H75" s="193">
        <f>_xlfn.XLOOKUP(B75,'Renewable energy'!$B$4:$B$31,'Renewable energy'!$P$4:$P$31)</f>
        <v>11.260026131081865</v>
      </c>
      <c r="I75" s="193">
        <f>_xlfn.XLOOKUP(B75,'Battery recycling'!$B$3:$B$22,'Battery recycling'!$K$3:$K$22)</f>
        <v>100</v>
      </c>
      <c r="J75" s="195">
        <f>_xlfn.XLOOKUP(B75,'ZEV target'!$B$4:$B$38,'ZEV target'!$N$4:$N$38)</f>
        <v>0.4154641323724837</v>
      </c>
      <c r="K75" s="197">
        <f>_xlfn.XLOOKUP(B75,'ZEV investment'!$B$3:$B$22,'ZEV investment'!$G$3:$G$22)</f>
        <v>610.23709684167261</v>
      </c>
      <c r="L75" s="343">
        <f>IFERROR(_xlfn.XLOOKUP(B75,'Executive compensation'!$B$3:$B$22,'Executive compensation'!$L$3:$L$22),0)</f>
        <v>0</v>
      </c>
      <c r="N75" s="38"/>
      <c r="O75" s="52"/>
      <c r="P75" s="71"/>
      <c r="Q75" s="71"/>
      <c r="R75" s="71"/>
      <c r="AD75" s="174"/>
      <c r="AG75" s="174"/>
      <c r="AH75" s="174"/>
      <c r="AI75" s="174"/>
      <c r="AJ75" s="174"/>
      <c r="AK75" s="174"/>
      <c r="AL75" s="174"/>
      <c r="AM75" s="174"/>
      <c r="AN75" s="174"/>
      <c r="AO75" s="174"/>
      <c r="AP75" s="174"/>
      <c r="AQ75" s="174"/>
      <c r="AR75" s="174"/>
      <c r="AS75" s="174"/>
    </row>
    <row r="76" spans="2:45">
      <c r="B76" s="194" t="s">
        <v>48</v>
      </c>
      <c r="C76" s="196">
        <f>_xlfn.XLOOKUP(B76,'ZEV market share'!$B$4:$B$23,'ZEV market share'!$L$4:$L$23)</f>
        <v>8.24836478868438E-2</v>
      </c>
      <c r="D76" s="196">
        <f>_xlfn.XLOOKUP(B76,'Class coverage'!$B$4:$B$23,'Class coverage'!$K$4:$K$23)</f>
        <v>0.875</v>
      </c>
      <c r="E76" s="7">
        <f>_xlfn.XLOOKUP(B76,'Energy consumption'!$B$4:$B$23,'Energy consumption'!$K$4:$K$23)</f>
        <v>158</v>
      </c>
      <c r="F76" s="7">
        <f>_xlfn.XLOOKUP(B76,'Charging speed'!$B$4:$B$23,'Charging speed'!$G$4:$G$23)</f>
        <v>73</v>
      </c>
      <c r="G76" s="7">
        <f>_xlfn.XLOOKUP(B76,'Driving range'!$B$4:$B$23,'Driving range'!$K$4:$K$23)</f>
        <v>283</v>
      </c>
      <c r="H76" s="193">
        <f>_xlfn.XLOOKUP(B76,'Renewable energy'!$B$4:$B$31,'Renewable energy'!$P$4:$P$31)</f>
        <v>0</v>
      </c>
      <c r="I76" s="193">
        <f>_xlfn.XLOOKUP(B76,'Battery recycling'!$B$3:$B$22,'Battery recycling'!$K$3:$K$22)</f>
        <v>98.465947598226563</v>
      </c>
      <c r="J76" s="195">
        <f>_xlfn.XLOOKUP(B76,'ZEV target'!$B$4:$B$38,'ZEV target'!$N$4:$N$38)</f>
        <v>0.86939872640195137</v>
      </c>
      <c r="K76" s="197">
        <f>_xlfn.XLOOKUP(B76,'ZEV investment'!$B$3:$B$22,'ZEV investment'!$G$3:$G$22)</f>
        <v>273.31796532097053</v>
      </c>
      <c r="L76" s="343">
        <f>IFERROR(_xlfn.XLOOKUP(B76,'Executive compensation'!$B$3:$B$22,'Executive compensation'!$L$3:$L$22),0)</f>
        <v>0.18695652173913047</v>
      </c>
      <c r="N76" s="38"/>
      <c r="O76" s="77"/>
      <c r="P76" s="71"/>
      <c r="Q76" s="71"/>
      <c r="R76" s="71"/>
      <c r="AD76" s="174"/>
      <c r="AG76" s="174"/>
      <c r="AH76" s="174"/>
      <c r="AI76" s="174"/>
      <c r="AJ76" s="174"/>
      <c r="AK76" s="174"/>
      <c r="AL76" s="174"/>
      <c r="AM76" s="174"/>
      <c r="AN76" s="174"/>
      <c r="AO76" s="174"/>
      <c r="AP76" s="174"/>
      <c r="AQ76" s="174"/>
      <c r="AR76" s="174"/>
      <c r="AS76" s="174"/>
    </row>
    <row r="77" spans="2:45">
      <c r="B77" s="194" t="s">
        <v>51</v>
      </c>
      <c r="C77" s="196">
        <f>_xlfn.XLOOKUP(B77,'ZEV market share'!$B$4:$B$23,'ZEV market share'!$L$4:$L$23)</f>
        <v>4.7522246697867402E-3</v>
      </c>
      <c r="D77" s="196">
        <f>_xlfn.XLOOKUP(B77,'Class coverage'!$B$4:$B$23,'Class coverage'!$K$4:$K$23)</f>
        <v>0.375</v>
      </c>
      <c r="E77" s="7">
        <f>_xlfn.XLOOKUP(B77,'Energy consumption'!$B$4:$B$23,'Energy consumption'!$K$4:$K$23)</f>
        <v>147</v>
      </c>
      <c r="F77" s="7">
        <f>_xlfn.XLOOKUP(B77,'Charging speed'!$B$4:$B$23,'Charging speed'!$G$4:$G$23)</f>
        <v>58</v>
      </c>
      <c r="G77" s="7">
        <f>_xlfn.XLOOKUP(B77,'Driving range'!$B$4:$B$23,'Driving range'!$K$4:$K$23)</f>
        <v>355</v>
      </c>
      <c r="H77" s="193">
        <f>_xlfn.XLOOKUP(B77,'Renewable energy'!$B$4:$B$31,'Renewable energy'!$P$4:$P$31)</f>
        <v>0</v>
      </c>
      <c r="I77" s="193">
        <f>_xlfn.XLOOKUP(B77,'Battery recycling'!$B$3:$B$22,'Battery recycling'!$K$3:$K$22)</f>
        <v>32.261754298721051</v>
      </c>
      <c r="J77" s="195">
        <f>_xlfn.XLOOKUP(B77,'ZEV target'!$B$4:$B$38,'ZEV target'!$N$4:$N$38)</f>
        <v>0.78013347623121909</v>
      </c>
      <c r="K77" s="197">
        <f>_xlfn.XLOOKUP(B77,'ZEV investment'!$B$3:$B$22,'ZEV investment'!$G$3:$G$22)</f>
        <v>713.66730373028781</v>
      </c>
      <c r="L77" s="343">
        <f>IFERROR(_xlfn.XLOOKUP(B77,'Executive compensation'!$B$3:$B$22,'Executive compensation'!$L$3:$L$22),0)</f>
        <v>0</v>
      </c>
      <c r="N77" s="93"/>
      <c r="O77" s="52"/>
      <c r="P77" s="71"/>
      <c r="Q77" s="71"/>
      <c r="R77" s="71"/>
      <c r="AD77" s="174"/>
      <c r="AG77" s="174"/>
      <c r="AH77" s="174"/>
      <c r="AI77" s="174"/>
      <c r="AJ77" s="174"/>
      <c r="AK77" s="174"/>
      <c r="AL77" s="174"/>
      <c r="AM77" s="174"/>
      <c r="AN77" s="174"/>
      <c r="AO77" s="174"/>
      <c r="AP77" s="174"/>
      <c r="AQ77" s="174"/>
      <c r="AR77" s="174"/>
      <c r="AS77" s="174"/>
    </row>
    <row r="78" spans="2:45">
      <c r="B78" s="194" t="s">
        <v>54</v>
      </c>
      <c r="C78" s="196">
        <f>_xlfn.XLOOKUP(B78,'ZEV market share'!$B$4:$B$23,'ZEV market share'!$L$4:$L$23)</f>
        <v>3.7531796432976702E-2</v>
      </c>
      <c r="D78" s="196">
        <f>_xlfn.XLOOKUP(B78,'Class coverage'!$B$4:$B$23,'Class coverage'!$K$4:$K$23)</f>
        <v>0.25</v>
      </c>
      <c r="E78" s="7">
        <f>_xlfn.XLOOKUP(B78,'Energy consumption'!$B$4:$B$23,'Energy consumption'!$K$4:$K$23)</f>
        <v>159</v>
      </c>
      <c r="F78" s="7">
        <f>_xlfn.XLOOKUP(B78,'Charging speed'!$B$4:$B$23,'Charging speed'!$G$4:$G$23)</f>
        <v>93</v>
      </c>
      <c r="G78" s="7">
        <f>_xlfn.XLOOKUP(B78,'Driving range'!$B$4:$B$23,'Driving range'!$K$4:$K$23)</f>
        <v>488</v>
      </c>
      <c r="H78" s="193">
        <f>_xlfn.XLOOKUP(B78,'Renewable energy'!$B$4:$B$31,'Renewable energy'!$P$4:$P$31)</f>
        <v>13.783536088610596</v>
      </c>
      <c r="I78" s="193">
        <f>_xlfn.XLOOKUP(B78,'Battery recycling'!$B$3:$B$22,'Battery recycling'!$K$3:$K$22)</f>
        <v>91.069073179953421</v>
      </c>
      <c r="J78" s="195">
        <f>_xlfn.XLOOKUP(B78,'ZEV target'!$B$4:$B$38,'ZEV target'!$N$4:$N$38)</f>
        <v>1.0309278350515465</v>
      </c>
      <c r="K78" s="197">
        <f>_xlfn.XLOOKUP(B78,'ZEV investment'!$B$3:$B$22,'ZEV investment'!$G$3:$G$22)</f>
        <v>1069.1647667061734</v>
      </c>
      <c r="L78" s="343">
        <f>IFERROR(_xlfn.XLOOKUP(B78,'Executive compensation'!$B$3:$B$22,'Executive compensation'!$L$3:$L$22),0)</f>
        <v>0</v>
      </c>
      <c r="M78" s="71"/>
      <c r="N78" s="93"/>
      <c r="P78" s="71"/>
      <c r="Q78" s="71"/>
      <c r="R78" s="71"/>
      <c r="AD78" s="174"/>
      <c r="AG78" s="174"/>
      <c r="AH78" s="174"/>
      <c r="AI78" s="174"/>
      <c r="AJ78" s="174"/>
      <c r="AK78" s="174"/>
      <c r="AL78" s="174"/>
      <c r="AM78" s="174"/>
      <c r="AN78" s="174"/>
      <c r="AO78" s="174"/>
      <c r="AP78" s="174"/>
      <c r="AQ78" s="174"/>
      <c r="AR78" s="174"/>
      <c r="AS78" s="174"/>
    </row>
    <row r="79" spans="2:45">
      <c r="B79" s="194" t="s">
        <v>52</v>
      </c>
      <c r="C79" s="196">
        <f>_xlfn.XLOOKUP(B79,'ZEV market share'!$B$4:$B$23,'ZEV market share'!$L$4:$L$23)</f>
        <v>2.4009797799170299E-2</v>
      </c>
      <c r="D79" s="196">
        <f>_xlfn.XLOOKUP(B79,'Class coverage'!$B$4:$B$23,'Class coverage'!$K$4:$K$23)</f>
        <v>0.375</v>
      </c>
      <c r="E79" s="7">
        <f>_xlfn.XLOOKUP(B79,'Energy consumption'!$B$4:$B$23,'Energy consumption'!$K$4:$K$23)</f>
        <v>146</v>
      </c>
      <c r="F79" s="7">
        <f>_xlfn.XLOOKUP(B79,'Charging speed'!$B$4:$B$23,'Charging speed'!$G$4:$G$23)</f>
        <v>65</v>
      </c>
      <c r="G79" s="7">
        <f>_xlfn.XLOOKUP(B79,'Driving range'!$B$4:$B$23,'Driving range'!$K$4:$K$23)</f>
        <v>434</v>
      </c>
      <c r="H79" s="193">
        <f>_xlfn.XLOOKUP(B79,'Renewable energy'!$B$4:$B$31,'Renewable energy'!$P$4:$P$31)</f>
        <v>0</v>
      </c>
      <c r="I79" s="193">
        <f>_xlfn.XLOOKUP(B79,'Battery recycling'!$B$3:$B$22,'Battery recycling'!$K$3:$K$22)</f>
        <v>98.606469373147661</v>
      </c>
      <c r="J79" s="195">
        <f>_xlfn.XLOOKUP(B79,'ZEV target'!$B$4:$B$38,'ZEV target'!$N$4:$N$38)</f>
        <v>1.0309278350515465</v>
      </c>
      <c r="K79" s="197">
        <f>_xlfn.XLOOKUP(B79,'ZEV investment'!$B$3:$B$22,'ZEV investment'!$G$3:$G$22)</f>
        <v>1055.0892046841357</v>
      </c>
      <c r="L79" s="343">
        <f>IFERROR(_xlfn.XLOOKUP(B79,'Executive compensation'!$B$3:$B$22,'Executive compensation'!$L$3:$L$22),0)</f>
        <v>0.1065</v>
      </c>
      <c r="O79" s="71"/>
      <c r="P79" s="71"/>
      <c r="Q79" s="71"/>
      <c r="R79" s="71"/>
      <c r="AD79" s="174"/>
      <c r="AG79" s="174"/>
      <c r="AH79" s="174"/>
      <c r="AI79" s="174"/>
      <c r="AJ79" s="174"/>
      <c r="AK79" s="174"/>
      <c r="AL79" s="174"/>
      <c r="AM79" s="174"/>
      <c r="AN79" s="174"/>
      <c r="AO79" s="174"/>
      <c r="AP79" s="174"/>
      <c r="AQ79" s="174"/>
      <c r="AR79" s="174"/>
      <c r="AS79" s="174"/>
    </row>
    <row r="80" spans="2:45">
      <c r="B80" s="194" t="s">
        <v>55</v>
      </c>
      <c r="C80" s="196">
        <f>_xlfn.XLOOKUP(B80,'ZEV market share'!$B$4:$B$23,'ZEV market share'!$L$4:$L$23)</f>
        <v>3.8078058537142703E-2</v>
      </c>
      <c r="D80" s="196">
        <f>_xlfn.XLOOKUP(B80,'Class coverage'!$B$4:$B$23,'Class coverage'!$K$4:$K$23)</f>
        <v>0.625</v>
      </c>
      <c r="E80" s="7">
        <f>_xlfn.XLOOKUP(B80,'Energy consumption'!$B$4:$B$23,'Energy consumption'!$K$4:$K$23)</f>
        <v>162</v>
      </c>
      <c r="F80" s="7">
        <f>_xlfn.XLOOKUP(B80,'Charging speed'!$B$4:$B$23,'Charging speed'!$G$4:$G$23)</f>
        <v>36</v>
      </c>
      <c r="G80" s="7">
        <f>_xlfn.XLOOKUP(B80,'Driving range'!$B$4:$B$23,'Driving range'!$K$4:$K$23)</f>
        <v>285</v>
      </c>
      <c r="H80" s="193">
        <f>_xlfn.XLOOKUP(B80,'Renewable energy'!$B$4:$B$31,'Renewable energy'!$P$4:$P$31)</f>
        <v>0</v>
      </c>
      <c r="I80" s="193">
        <f>_xlfn.XLOOKUP(B80,'Battery recycling'!$B$3:$B$22,'Battery recycling'!$K$3:$K$22)</f>
        <v>30.944811936486559</v>
      </c>
      <c r="J80" s="195">
        <f>_xlfn.XLOOKUP(B80,'ZEV target'!$B$4:$B$38,'ZEV target'!$N$4:$N$38)</f>
        <v>0.64935064935064934</v>
      </c>
      <c r="K80" s="197">
        <f>_xlfn.XLOOKUP(B80,'ZEV investment'!$B$3:$B$22,'ZEV investment'!$G$3:$G$22)</f>
        <v>723.81677018215385</v>
      </c>
      <c r="L80" s="343">
        <f>IFERROR(_xlfn.XLOOKUP(B80,'Executive compensation'!$B$3:$B$22,'Executive compensation'!$L$3:$L$22),0)</f>
        <v>1.4000000000000002E-2</v>
      </c>
      <c r="M80" s="71"/>
      <c r="N80" s="38"/>
      <c r="O80" s="71"/>
      <c r="P80" s="71"/>
      <c r="Q80" s="71"/>
      <c r="R80" s="71"/>
      <c r="AD80" s="174"/>
      <c r="AG80" s="174"/>
      <c r="AH80" s="174"/>
      <c r="AI80" s="174"/>
      <c r="AJ80" s="174"/>
      <c r="AK80" s="174"/>
      <c r="AL80" s="174"/>
      <c r="AM80" s="174"/>
      <c r="AN80" s="174"/>
      <c r="AO80" s="174"/>
      <c r="AP80" s="174"/>
      <c r="AQ80" s="174"/>
      <c r="AR80" s="174"/>
      <c r="AS80" s="174"/>
    </row>
    <row r="81" spans="1:45">
      <c r="B81" s="194" t="s">
        <v>57</v>
      </c>
      <c r="C81" s="196">
        <f>_xlfn.XLOOKUP(B81,'ZEV market share'!$B$4:$B$23,'ZEV market share'!$L$4:$L$23)</f>
        <v>3.3447527695219798E-4</v>
      </c>
      <c r="D81" s="196">
        <f>_xlfn.XLOOKUP(B81,'Class coverage'!$B$4:$B$23,'Class coverage'!$K$4:$K$23)</f>
        <v>0</v>
      </c>
      <c r="E81" s="7"/>
      <c r="F81" s="7"/>
      <c r="G81" s="7"/>
      <c r="H81" s="193">
        <f>_xlfn.XLOOKUP(B81,'Renewable energy'!$B$4:$B$31,'Renewable energy'!$P$4:$P$31)</f>
        <v>0</v>
      </c>
      <c r="I81" s="193">
        <f>_xlfn.XLOOKUP(B81,'Battery recycling'!$B$3:$B$22,'Battery recycling'!$K$3:$K$22)</f>
        <v>0</v>
      </c>
      <c r="J81" s="195">
        <f>_xlfn.XLOOKUP(B81,'ZEV target'!$B$4:$B$38,'ZEV target'!$N$4:$N$38)</f>
        <v>0</v>
      </c>
      <c r="K81" s="197">
        <f>_xlfn.XLOOKUP(B81,'ZEV investment'!$B$3:$B$22,'ZEV investment'!$G$3:$G$22)</f>
        <v>12.933954512905467</v>
      </c>
      <c r="L81" s="343">
        <f>IFERROR(_xlfn.XLOOKUP(B81,'Executive compensation'!$B$3:$B$22,'Executive compensation'!$L$3:$L$22),0)</f>
        <v>0</v>
      </c>
      <c r="M81" s="71"/>
      <c r="N81" s="93"/>
      <c r="O81" s="71"/>
      <c r="P81" s="71"/>
      <c r="Q81" s="71"/>
      <c r="R81" s="71"/>
      <c r="AD81" s="174"/>
      <c r="AG81" s="174"/>
      <c r="AH81" s="174"/>
      <c r="AI81" s="174"/>
      <c r="AJ81" s="174"/>
      <c r="AK81" s="174"/>
      <c r="AL81" s="174"/>
      <c r="AM81" s="174"/>
      <c r="AN81" s="174"/>
      <c r="AO81" s="174"/>
      <c r="AP81" s="174"/>
      <c r="AQ81" s="174"/>
      <c r="AR81" s="174"/>
      <c r="AS81" s="174"/>
    </row>
    <row r="82" spans="1:45">
      <c r="B82" s="194" t="s">
        <v>49</v>
      </c>
      <c r="C82" s="196">
        <f>_xlfn.XLOOKUP(B82,'ZEV market share'!$B$4:$B$23,'ZEV market share'!$L$4:$L$23)</f>
        <v>0.226939966250127</v>
      </c>
      <c r="D82" s="196">
        <f>_xlfn.XLOOKUP(B82,'Class coverage'!$B$4:$B$23,'Class coverage'!$K$4:$K$23)</f>
        <v>0.875</v>
      </c>
      <c r="E82" s="7">
        <f>_xlfn.XLOOKUP(B82,'Energy consumption'!$B$4:$B$23,'Energy consumption'!$K$4:$K$23)</f>
        <v>150</v>
      </c>
      <c r="F82" s="7">
        <f>_xlfn.XLOOKUP(B82,'Charging speed'!$B$4:$B$23,'Charging speed'!$G$4:$G$23)</f>
        <v>67</v>
      </c>
      <c r="G82" s="7">
        <f>_xlfn.XLOOKUP(B82,'Driving range'!$B$4:$B$23,'Driving range'!$K$4:$K$23)</f>
        <v>405</v>
      </c>
      <c r="H82" s="193">
        <f>_xlfn.XLOOKUP(B82,'Renewable energy'!$B$4:$B$31,'Renewable energy'!$P$4:$P$31)</f>
        <v>9.4546309751127868</v>
      </c>
      <c r="I82" s="193">
        <f>_xlfn.XLOOKUP(B82,'Battery recycling'!$B$3:$B$22,'Battery recycling'!$K$3:$K$22)</f>
        <v>100</v>
      </c>
      <c r="J82" s="195">
        <f>_xlfn.XLOOKUP(B82,'ZEV target'!$B$4:$B$38,'ZEV target'!$N$4:$N$38)</f>
        <v>0.76377955508482132</v>
      </c>
      <c r="K82" s="197">
        <f>_xlfn.XLOOKUP(B82,'ZEV investment'!$B$3:$B$22,'ZEV investment'!$G$3:$G$22)</f>
        <v>1351.9258102601073</v>
      </c>
      <c r="L82" s="343">
        <f>IFERROR(_xlfn.XLOOKUP(B82,'Executive compensation'!$B$3:$B$22,'Executive compensation'!$L$3:$L$22),0)</f>
        <v>0</v>
      </c>
      <c r="M82" s="71"/>
      <c r="N82" s="93"/>
      <c r="O82" s="71"/>
      <c r="P82" s="71"/>
      <c r="Q82" s="71"/>
      <c r="R82" s="71"/>
      <c r="AD82" s="174"/>
      <c r="AG82" s="174"/>
      <c r="AH82" s="174"/>
      <c r="AI82" s="174"/>
      <c r="AJ82" s="174"/>
      <c r="AK82" s="174"/>
      <c r="AL82" s="174"/>
      <c r="AM82" s="174"/>
      <c r="AN82" s="174"/>
      <c r="AO82" s="174"/>
      <c r="AP82" s="174"/>
      <c r="AQ82" s="174"/>
      <c r="AR82" s="174"/>
      <c r="AS82" s="174"/>
    </row>
    <row r="83" spans="1:45">
      <c r="B83" s="194" t="s">
        <v>43</v>
      </c>
      <c r="C83" s="196">
        <f>_xlfn.XLOOKUP(B83,'ZEV market share'!$B$4:$B$23,'ZEV market share'!$L$4:$L$23)</f>
        <v>0.122557330904255</v>
      </c>
      <c r="D83" s="196">
        <f>_xlfn.XLOOKUP(B83,'Class coverage'!$B$4:$B$23,'Class coverage'!$K$4:$K$23)</f>
        <v>0.5</v>
      </c>
      <c r="E83" s="7">
        <f>_xlfn.XLOOKUP(B83,'Energy consumption'!$B$4:$B$23,'Energy consumption'!$K$4:$K$23)</f>
        <v>137</v>
      </c>
      <c r="F83" s="7">
        <f>_xlfn.XLOOKUP(B83,'Charging speed'!$B$4:$B$23,'Charging speed'!$G$4:$G$23)</f>
        <v>98</v>
      </c>
      <c r="G83" s="7">
        <f>_xlfn.XLOOKUP(B83,'Driving range'!$B$4:$B$23,'Driving range'!$K$4:$K$23)</f>
        <v>429</v>
      </c>
      <c r="H83" s="193">
        <f>_xlfn.XLOOKUP(B83,'Renewable energy'!$B$4:$B$31,'Renewable energy'!$P$4:$P$31)</f>
        <v>100</v>
      </c>
      <c r="I83" s="193">
        <f>_xlfn.XLOOKUP(B83,'Battery recycling'!$B$3:$B$22,'Battery recycling'!$K$3:$K$22)</f>
        <v>92.311063424659608</v>
      </c>
      <c r="J83" s="195">
        <f>_xlfn.XLOOKUP(B83,'ZEV target'!$B$4:$B$38,'ZEV target'!$N$4:$N$38)</f>
        <v>0.76989430605639042</v>
      </c>
      <c r="K83" s="197">
        <f>_xlfn.XLOOKUP(B83,'ZEV investment'!$B$3:$B$22,'ZEV investment'!$G$3:$G$22)</f>
        <v>593.1850564464512</v>
      </c>
      <c r="L83" s="343">
        <f>IFERROR(_xlfn.XLOOKUP(B83,'Executive compensation'!$B$3:$B$22,'Executive compensation'!$L$3:$L$22),0)</f>
        <v>0.15</v>
      </c>
      <c r="M83" s="71"/>
      <c r="N83" s="38"/>
      <c r="O83" s="71"/>
      <c r="P83" s="71"/>
      <c r="Q83" s="71"/>
      <c r="R83" s="71"/>
      <c r="AD83" s="174"/>
      <c r="AG83" s="174"/>
      <c r="AH83" s="174"/>
      <c r="AI83" s="174"/>
      <c r="AJ83" s="174"/>
      <c r="AK83" s="174"/>
      <c r="AL83" s="174"/>
      <c r="AM83" s="174"/>
      <c r="AN83" s="174"/>
      <c r="AO83" s="174"/>
      <c r="AP83" s="174"/>
      <c r="AQ83" s="174"/>
      <c r="AR83" s="174"/>
      <c r="AS83" s="174"/>
    </row>
    <row r="84" spans="1:45">
      <c r="B84" s="194" t="s">
        <v>50</v>
      </c>
      <c r="C84" s="196">
        <f>_xlfn.XLOOKUP(B84,'ZEV market share'!$B$4:$B$23,'ZEV market share'!$L$4:$L$23)</f>
        <v>0.103754520352542</v>
      </c>
      <c r="D84" s="196">
        <f>_xlfn.XLOOKUP(B84,'Class coverage'!$B$4:$B$23,'Class coverage'!$K$4:$K$23)</f>
        <v>0.625</v>
      </c>
      <c r="E84" s="7">
        <f>_xlfn.XLOOKUP(B84,'Energy consumption'!$B$4:$B$23,'Energy consumption'!$K$4:$K$23)</f>
        <v>145</v>
      </c>
      <c r="F84" s="7">
        <f>_xlfn.XLOOKUP(B84,'Charging speed'!$B$4:$B$23,'Charging speed'!$G$4:$G$23)</f>
        <v>81</v>
      </c>
      <c r="G84" s="7">
        <f>_xlfn.XLOOKUP(B84,'Driving range'!$B$4:$B$23,'Driving range'!$K$4:$K$23)</f>
        <v>420</v>
      </c>
      <c r="H84" s="193">
        <f>_xlfn.XLOOKUP(B84,'Renewable energy'!$B$4:$B$31,'Renewable energy'!$P$4:$P$31)</f>
        <v>50</v>
      </c>
      <c r="I84" s="193">
        <f>_xlfn.XLOOKUP(B84,'Battery recycling'!$B$3:$B$22,'Battery recycling'!$K$3:$K$22)</f>
        <v>43.421235256903763</v>
      </c>
      <c r="J84" s="195">
        <f>_xlfn.XLOOKUP(B84,'ZEV target'!$B$4:$B$38,'ZEV target'!$N$4:$N$38)</f>
        <v>1.0309278350515465</v>
      </c>
      <c r="K84" s="197">
        <f>_xlfn.XLOOKUP(B84,'ZEV investment'!$B$3:$B$22,'ZEV investment'!$G$3:$G$22)</f>
        <v>1012.6753535144979</v>
      </c>
      <c r="L84" s="343">
        <f>IFERROR(_xlfn.XLOOKUP(B84,'Executive compensation'!$B$3:$B$22,'Executive compensation'!$L$3:$L$22),0)</f>
        <v>2.2499999999999999E-2</v>
      </c>
      <c r="M84" s="71"/>
      <c r="N84" s="38"/>
      <c r="O84" s="71"/>
      <c r="P84" s="71"/>
      <c r="Q84" s="71"/>
      <c r="R84" s="71"/>
      <c r="AD84" s="174"/>
      <c r="AG84" s="174"/>
      <c r="AH84" s="174"/>
      <c r="AI84" s="174"/>
      <c r="AJ84" s="174"/>
      <c r="AK84" s="174"/>
      <c r="AL84" s="174"/>
      <c r="AM84" s="174"/>
      <c r="AN84" s="174"/>
      <c r="AO84" s="174"/>
      <c r="AP84" s="174"/>
      <c r="AQ84" s="174"/>
      <c r="AR84" s="174"/>
      <c r="AS84" s="174"/>
    </row>
    <row r="85" spans="1:45">
      <c r="B85" s="194" t="s">
        <v>45</v>
      </c>
      <c r="C85" s="196">
        <f>_xlfn.XLOOKUP(B85,'ZEV market share'!$B$4:$B$23,'ZEV market share'!$L$4:$L$23)</f>
        <v>0.307832809994038</v>
      </c>
      <c r="D85" s="196">
        <f>_xlfn.XLOOKUP(B85,'Class coverage'!$B$4:$B$23,'Class coverage'!$K$4:$K$23)</f>
        <v>1</v>
      </c>
      <c r="E85" s="7">
        <f>_xlfn.XLOOKUP(B85,'Energy consumption'!$B$4:$B$23,'Energy consumption'!$K$4:$K$23)</f>
        <v>148</v>
      </c>
      <c r="F85" s="7">
        <f>_xlfn.XLOOKUP(B85,'Charging speed'!$B$4:$B$23,'Charging speed'!$G$4:$G$23)</f>
        <v>18</v>
      </c>
      <c r="G85" s="7">
        <f>_xlfn.XLOOKUP(B85,'Driving range'!$B$4:$B$23,'Driving range'!$K$4:$K$23)</f>
        <v>196</v>
      </c>
      <c r="H85" s="193">
        <f>_xlfn.XLOOKUP(B85,'Renewable energy'!$B$4:$B$31,'Renewable energy'!$P$4:$P$31)</f>
        <v>0</v>
      </c>
      <c r="I85" s="193">
        <f>_xlfn.XLOOKUP(B85,'Battery recycling'!$B$3:$B$22,'Battery recycling'!$K$3:$K$22)</f>
        <v>90.425356522170759</v>
      </c>
      <c r="J85" s="195">
        <f>_xlfn.XLOOKUP(B85,'ZEV target'!$B$4:$B$38,'ZEV target'!$N$4:$N$38)</f>
        <v>0.39406202142433627</v>
      </c>
      <c r="K85" s="197">
        <f>_xlfn.XLOOKUP(B85,'ZEV investment'!$B$3:$B$22,'ZEV investment'!$G$3:$G$22)</f>
        <v>2364.1820060493787</v>
      </c>
      <c r="L85" s="343">
        <f>IFERROR(_xlfn.XLOOKUP(B85,'Executive compensation'!$B$3:$B$22,'Executive compensation'!$L$3:$L$22),0)</f>
        <v>0</v>
      </c>
      <c r="M85" s="71"/>
      <c r="N85" s="38"/>
      <c r="O85" s="71"/>
      <c r="P85" s="71"/>
      <c r="Q85" s="71"/>
      <c r="R85" s="71"/>
      <c r="AD85" s="174"/>
      <c r="AG85" s="174"/>
      <c r="AH85" s="174"/>
      <c r="AI85" s="174"/>
      <c r="AJ85" s="174"/>
      <c r="AK85" s="174"/>
      <c r="AL85" s="174"/>
      <c r="AM85" s="174"/>
      <c r="AN85" s="174"/>
      <c r="AO85" s="174"/>
      <c r="AP85" s="174"/>
      <c r="AQ85" s="174"/>
      <c r="AR85" s="174"/>
      <c r="AS85" s="174"/>
    </row>
    <row r="86" spans="1:45">
      <c r="B86" s="194" t="s">
        <v>46</v>
      </c>
      <c r="C86" s="196">
        <f>_xlfn.XLOOKUP(B86,'ZEV market share'!$B$4:$B$23,'ZEV market share'!$L$4:$L$23)</f>
        <v>0.111583911281306</v>
      </c>
      <c r="D86" s="196">
        <f>_xlfn.XLOOKUP(B86,'Class coverage'!$B$4:$B$23,'Class coverage'!$K$4:$K$23)</f>
        <v>0.75</v>
      </c>
      <c r="E86" s="7">
        <f>_xlfn.XLOOKUP(B86,'Energy consumption'!$B$4:$B$23,'Energy consumption'!$K$4:$K$23)</f>
        <v>148</v>
      </c>
      <c r="F86" s="7">
        <f>_xlfn.XLOOKUP(B86,'Charging speed'!$B$4:$B$23,'Charging speed'!$G$4:$G$23)</f>
        <v>38</v>
      </c>
      <c r="G86" s="7">
        <f>_xlfn.XLOOKUP(B86,'Driving range'!$B$4:$B$23,'Driving range'!$K$4:$K$23)</f>
        <v>295</v>
      </c>
      <c r="H86" s="193">
        <f>_xlfn.XLOOKUP(B86,'Renewable energy'!$B$4:$B$31,'Renewable energy'!$P$4:$P$31)</f>
        <v>0</v>
      </c>
      <c r="I86" s="193">
        <f>_xlfn.XLOOKUP(B86,'Battery recycling'!$B$3:$B$22,'Battery recycling'!$K$3:$K$22)</f>
        <v>89.601710199048014</v>
      </c>
      <c r="J86" s="195">
        <f>_xlfn.XLOOKUP(B86,'ZEV target'!$B$4:$B$38,'ZEV target'!$N$4:$N$38)</f>
        <v>1.0740797502235442</v>
      </c>
      <c r="K86" s="197">
        <f>_xlfn.XLOOKUP(B86,'ZEV investment'!$B$3:$B$22,'ZEV investment'!$G$3:$G$22)</f>
        <v>1322.0969246983013</v>
      </c>
      <c r="L86" s="343">
        <f>IFERROR(_xlfn.XLOOKUP(B86,'Executive compensation'!$B$3:$B$22,'Executive compensation'!$L$3:$L$22),0)</f>
        <v>6.9676066812451476E-2</v>
      </c>
      <c r="M86" s="71"/>
      <c r="N86" s="93"/>
      <c r="O86" s="71"/>
      <c r="P86" s="71"/>
      <c r="Q86" s="71"/>
      <c r="R86" s="71"/>
      <c r="AD86" s="174"/>
      <c r="AG86" s="174"/>
      <c r="AH86" s="174"/>
      <c r="AI86" s="174"/>
      <c r="AJ86" s="174"/>
      <c r="AK86" s="174"/>
      <c r="AL86" s="174"/>
      <c r="AM86" s="174"/>
      <c r="AN86" s="174"/>
      <c r="AO86" s="174"/>
      <c r="AP86" s="174"/>
      <c r="AQ86" s="174"/>
      <c r="AR86" s="174"/>
      <c r="AS86" s="174"/>
    </row>
    <row r="87" spans="1:45">
      <c r="B87" s="194" t="s">
        <v>53</v>
      </c>
      <c r="C87" s="196">
        <f>_xlfn.XLOOKUP(B87,'ZEV market share'!$B$4:$B$23,'ZEV market share'!$L$4:$L$23)</f>
        <v>0.16291280668305999</v>
      </c>
      <c r="D87" s="196">
        <f>_xlfn.XLOOKUP(B87,'Class coverage'!$B$4:$B$23,'Class coverage'!$K$4:$K$23)</f>
        <v>0.875</v>
      </c>
      <c r="E87" s="7">
        <f>_xlfn.XLOOKUP(B87,'Energy consumption'!$B$4:$B$23,'Energy consumption'!$K$4:$K$23)</f>
        <v>150</v>
      </c>
      <c r="F87" s="7">
        <f>_xlfn.XLOOKUP(B87,'Charging speed'!$B$4:$B$23,'Charging speed'!$G$4:$G$23)</f>
        <v>24</v>
      </c>
      <c r="G87" s="7">
        <f>_xlfn.XLOOKUP(B87,'Driving range'!$B$4:$B$23,'Driving range'!$K$4:$K$23)</f>
        <v>254</v>
      </c>
      <c r="H87" s="193">
        <f>_xlfn.XLOOKUP(B87,'Renewable energy'!$B$4:$B$31,'Renewable energy'!$P$4:$P$31)</f>
        <v>0</v>
      </c>
      <c r="I87" s="193">
        <f>_xlfn.XLOOKUP(B87,'Battery recycling'!$B$3:$B$22,'Battery recycling'!$K$3:$K$22)</f>
        <v>0</v>
      </c>
      <c r="J87" s="195">
        <f>_xlfn.XLOOKUP(B87,'ZEV target'!$B$4:$B$38,'ZEV target'!$N$4:$N$38)</f>
        <v>0.72923025004595876</v>
      </c>
      <c r="K87" s="197">
        <f>_xlfn.XLOOKUP(B87,'ZEV investment'!$B$3:$B$22,'ZEV investment'!$G$3:$G$22)</f>
        <v>1642.4380229038763</v>
      </c>
      <c r="L87" s="343">
        <f>IFERROR(_xlfn.XLOOKUP(B87,'Executive compensation'!$B$3:$B$22,'Executive compensation'!$L$3:$L$22),0)</f>
        <v>0</v>
      </c>
      <c r="M87" s="71"/>
      <c r="N87" s="93"/>
      <c r="O87" s="71"/>
      <c r="P87" s="71"/>
      <c r="Q87" s="71"/>
      <c r="R87" s="71"/>
      <c r="AD87" s="174"/>
      <c r="AG87" s="174"/>
      <c r="AH87" s="174"/>
      <c r="AI87" s="174"/>
      <c r="AJ87" s="174"/>
      <c r="AK87" s="174"/>
      <c r="AL87" s="174"/>
      <c r="AM87" s="174"/>
      <c r="AN87" s="174"/>
      <c r="AO87" s="174"/>
      <c r="AP87" s="174"/>
      <c r="AQ87" s="174"/>
      <c r="AR87" s="174"/>
      <c r="AS87" s="174"/>
    </row>
    <row r="88" spans="1:45">
      <c r="B88" s="194" t="s">
        <v>16</v>
      </c>
      <c r="C88" s="196">
        <f>_xlfn.XLOOKUP(B88,'ZEV market share'!$B$4:$B$23,'ZEV market share'!$L$4:$L$23)</f>
        <v>0.68630283339194897</v>
      </c>
      <c r="D88" s="196">
        <f>_xlfn.XLOOKUP(B88,'Class coverage'!$B$4:$B$23,'Class coverage'!$K$4:$K$23)</f>
        <v>0.875</v>
      </c>
      <c r="E88" s="7">
        <f>_xlfn.XLOOKUP(B88,'Energy consumption'!$B$4:$B$23,'Energy consumption'!$K$4:$K$23)</f>
        <v>136</v>
      </c>
      <c r="F88" s="7">
        <f>_xlfn.XLOOKUP(B88,'Charging speed'!$B$4:$B$23,'Charging speed'!$G$4:$G$23)</f>
        <v>76</v>
      </c>
      <c r="G88" s="7">
        <f>_xlfn.XLOOKUP(B88,'Driving range'!$B$4:$B$23,'Driving range'!$K$4:$K$23)</f>
        <v>420</v>
      </c>
      <c r="H88" s="193">
        <f>_xlfn.XLOOKUP(B88,'Renewable energy'!$B$4:$B$31,'Renewable energy'!$P$4:$P$31)</f>
        <v>0</v>
      </c>
      <c r="I88" s="193">
        <f>_xlfn.XLOOKUP(B88,'Battery recycling'!$B$3:$B$22,'Battery recycling'!$K$3:$K$22)</f>
        <v>99.945777064365814</v>
      </c>
      <c r="J88" s="195">
        <f>_xlfn.XLOOKUP(B88,'ZEV target'!$B$4:$B$38,'ZEV target'!$N$4:$N$38)</f>
        <v>0.74714912055663041</v>
      </c>
      <c r="K88" s="197">
        <f>_xlfn.XLOOKUP(B88,'ZEV investment'!$B$3:$B$22,'ZEV investment'!$G$3:$G$22)</f>
        <v>2304.519153151522</v>
      </c>
      <c r="L88" s="343">
        <f>IFERROR(_xlfn.XLOOKUP(B88,'Executive compensation'!$B$3:$B$22,'Executive compensation'!$L$3:$L$22),0)</f>
        <v>0.18695652173913047</v>
      </c>
      <c r="M88" s="71"/>
      <c r="N88" s="93"/>
      <c r="O88" s="71"/>
      <c r="P88" s="71"/>
      <c r="Q88" s="71"/>
      <c r="R88" s="71"/>
      <c r="AD88" s="174"/>
      <c r="AG88" s="174"/>
      <c r="AH88" s="174"/>
      <c r="AI88" s="174"/>
      <c r="AJ88" s="174"/>
      <c r="AK88" s="174"/>
      <c r="AL88" s="174"/>
      <c r="AM88" s="174"/>
      <c r="AN88" s="174"/>
      <c r="AO88" s="174"/>
      <c r="AP88" s="174"/>
      <c r="AQ88" s="174"/>
      <c r="AR88" s="174"/>
      <c r="AS88" s="174"/>
    </row>
    <row r="89" spans="1:45">
      <c r="B89" s="194" t="s">
        <v>17</v>
      </c>
      <c r="C89" s="196">
        <f>_xlfn.XLOOKUP(B89,'ZEV market share'!$B$4:$B$23,'ZEV market share'!$L$4:$L$23)</f>
        <v>1</v>
      </c>
      <c r="D89" s="196">
        <f>_xlfn.XLOOKUP(B89,'Class coverage'!$B$4:$B$23,'Class coverage'!$K$4:$K$23)</f>
        <v>0.375</v>
      </c>
      <c r="E89" s="7">
        <f>_xlfn.XLOOKUP(B89,'Energy consumption'!$B$4:$B$23,'Energy consumption'!$K$4:$K$23)</f>
        <v>124</v>
      </c>
      <c r="F89" s="7">
        <f>_xlfn.XLOOKUP(B89,'Charging speed'!$B$4:$B$23,'Charging speed'!$G$4:$G$23)</f>
        <v>172</v>
      </c>
      <c r="G89" s="7">
        <f>_xlfn.XLOOKUP(B89,'Driving range'!$B$4:$B$23,'Driving range'!$K$4:$K$23)</f>
        <v>503</v>
      </c>
      <c r="H89" s="193">
        <f>_xlfn.XLOOKUP(B89,'Renewable energy'!$B$4:$B$31,'Renewable energy'!$P$4:$P$31)</f>
        <v>0</v>
      </c>
      <c r="I89" s="193">
        <f>_xlfn.XLOOKUP(B89,'Battery recycling'!$B$3:$B$22,'Battery recycling'!$K$3:$K$22)</f>
        <v>100</v>
      </c>
      <c r="J89" s="195">
        <f>_xlfn.XLOOKUP(B89,'ZEV target'!$B$4:$B$38,'ZEV target'!$N$4:$N$38)</f>
        <v>1.0740797502235442</v>
      </c>
      <c r="K89" s="197">
        <f>_xlfn.XLOOKUP(B89,'ZEV investment'!$B$3:$B$22,'ZEV investment'!$G$3:$G$22)</f>
        <v>2928.526637550975</v>
      </c>
      <c r="L89" s="343">
        <f>IFERROR(_xlfn.XLOOKUP(B89,'Executive compensation'!$B$3:$B$22,'Executive compensation'!$L$3:$L$22),0)</f>
        <v>0.18695652173913047</v>
      </c>
      <c r="M89" s="71"/>
      <c r="N89" s="93"/>
      <c r="O89" s="71"/>
      <c r="P89" s="71"/>
      <c r="Q89" s="71"/>
      <c r="R89" s="71"/>
      <c r="AD89" s="174"/>
      <c r="AG89" s="174"/>
      <c r="AH89" s="174"/>
      <c r="AI89" s="174"/>
      <c r="AJ89" s="174"/>
      <c r="AK89" s="174"/>
      <c r="AL89" s="174"/>
      <c r="AM89" s="174"/>
      <c r="AN89" s="174"/>
      <c r="AO89" s="174"/>
      <c r="AP89" s="174"/>
      <c r="AQ89" s="174"/>
      <c r="AR89" s="174"/>
      <c r="AS89" s="174"/>
    </row>
    <row r="90" spans="1:45">
      <c r="B90" s="194" t="s">
        <v>59</v>
      </c>
      <c r="C90" s="196">
        <f>_xlfn.XLOOKUP(B90,'ZEV market share'!$B$4:$B$23,'ZEV market share'!$L$4:$L$23)</f>
        <v>5.9474245795052602E-2</v>
      </c>
      <c r="D90" s="196">
        <f>_xlfn.XLOOKUP(B90,'Class coverage'!$B$4:$B$23,'Class coverage'!$K$4:$K$23)</f>
        <v>0.25</v>
      </c>
      <c r="E90" s="7">
        <f>_xlfn.XLOOKUP(B90,'Energy consumption'!$B$4:$B$23,'Energy consumption'!$K$4:$K$23)</f>
        <v>130</v>
      </c>
      <c r="F90" s="7">
        <f>_xlfn.XLOOKUP(B90,'Charging speed'!$B$4:$B$23,'Charging speed'!$G$4:$G$23)</f>
        <v>22</v>
      </c>
      <c r="G90" s="7">
        <f>_xlfn.XLOOKUP(B90,'Driving range'!$B$4:$B$23,'Driving range'!$K$4:$K$23)</f>
        <v>262</v>
      </c>
      <c r="H90" s="193">
        <f>_xlfn.XLOOKUP(B90,'Renewable energy'!$B$4:$B$31,'Renewable energy'!$P$4:$P$31)</f>
        <v>6.3230388441395489</v>
      </c>
      <c r="I90" s="193">
        <f>_xlfn.XLOOKUP(B90,'Battery recycling'!$B$3:$B$22,'Battery recycling'!$K$3:$K$22)</f>
        <v>87.412343020720542</v>
      </c>
      <c r="J90" s="195">
        <f>_xlfn.XLOOKUP(B90,'ZEV target'!$B$4:$B$38,'ZEV target'!$N$4:$N$38)</f>
        <v>0.55738801210887501</v>
      </c>
      <c r="K90" s="197">
        <f>_xlfn.XLOOKUP(B90,'ZEV investment'!$B$3:$B$22,'ZEV investment'!$G$3:$G$22)</f>
        <v>538.42010703364963</v>
      </c>
      <c r="L90" s="343">
        <f>IFERROR(_xlfn.XLOOKUP(B90,'Executive compensation'!$B$3:$B$22,'Executive compensation'!$L$3:$L$22),0)</f>
        <v>0</v>
      </c>
      <c r="M90" s="71"/>
      <c r="N90" s="38"/>
      <c r="O90" s="71"/>
      <c r="P90" s="71"/>
      <c r="Q90" s="71"/>
      <c r="R90" s="71"/>
      <c r="AD90" s="174"/>
      <c r="AG90" s="174"/>
      <c r="AH90" s="174"/>
      <c r="AI90" s="174"/>
      <c r="AJ90" s="174"/>
      <c r="AK90" s="174"/>
      <c r="AL90" s="174"/>
      <c r="AM90" s="174"/>
      <c r="AN90" s="174"/>
      <c r="AO90" s="174"/>
      <c r="AP90" s="174"/>
      <c r="AQ90" s="174"/>
      <c r="AR90" s="174"/>
      <c r="AS90" s="174"/>
    </row>
    <row r="91" spans="1:45">
      <c r="B91" s="194" t="s">
        <v>58</v>
      </c>
      <c r="C91" s="196">
        <f>_xlfn.XLOOKUP(B91,'ZEV market share'!$B$4:$B$23,'ZEV market share'!$L$4:$L$23)</f>
        <v>0.104585781971365</v>
      </c>
      <c r="D91" s="196">
        <f>_xlfn.XLOOKUP(B91,'Class coverage'!$B$4:$B$23,'Class coverage'!$K$4:$K$23)</f>
        <v>0.75</v>
      </c>
      <c r="E91" s="7">
        <f>_xlfn.XLOOKUP(B91,'Energy consumption'!$B$4:$B$23,'Energy consumption'!$K$4:$K$23)</f>
        <v>145</v>
      </c>
      <c r="F91" s="7">
        <f>_xlfn.XLOOKUP(B91,'Charging speed'!$B$4:$B$23,'Charging speed'!$G$4:$G$23)</f>
        <v>41</v>
      </c>
      <c r="G91" s="7">
        <f>_xlfn.XLOOKUP(B91,'Driving range'!$B$4:$B$23,'Driving range'!$K$4:$K$23)</f>
        <v>289</v>
      </c>
      <c r="H91" s="193">
        <f>_xlfn.XLOOKUP(B91,'Renewable energy'!$B$4:$B$31,'Renewable energy'!$P$4:$P$31)</f>
        <v>0</v>
      </c>
      <c r="I91" s="193">
        <f>_xlfn.XLOOKUP(B91,'Battery recycling'!$B$3:$B$22,'Battery recycling'!$K$3:$K$22)</f>
        <v>99.911653517422749</v>
      </c>
      <c r="J91" s="195">
        <f>_xlfn.XLOOKUP(B91,'ZEV target'!$B$4:$B$38,'ZEV target'!$N$4:$N$38)</f>
        <v>0.98799060931638116</v>
      </c>
      <c r="K91" s="197">
        <f>_xlfn.XLOOKUP(B91,'ZEV investment'!$B$3:$B$22,'ZEV investment'!$G$3:$G$22)</f>
        <v>152.12555777493313</v>
      </c>
      <c r="L91" s="343">
        <f>IFERROR(_xlfn.XLOOKUP(B91,'Executive compensation'!$B$3:$B$22,'Executive compensation'!$L$3:$L$22),0)</f>
        <v>0</v>
      </c>
      <c r="M91" s="71"/>
      <c r="N91" s="93"/>
      <c r="O91" s="71"/>
      <c r="P91" s="71"/>
      <c r="Q91" s="71"/>
      <c r="R91" s="71"/>
      <c r="AD91" s="174"/>
      <c r="AG91" s="174"/>
      <c r="AH91" s="174"/>
      <c r="AI91" s="174"/>
      <c r="AJ91" s="174"/>
      <c r="AK91" s="174"/>
      <c r="AL91" s="174"/>
      <c r="AM91" s="174"/>
      <c r="AN91" s="174"/>
      <c r="AO91" s="174"/>
      <c r="AP91" s="174"/>
      <c r="AQ91" s="174"/>
      <c r="AR91" s="174"/>
      <c r="AS91" s="174"/>
    </row>
    <row r="92" spans="1:45">
      <c r="B92" s="194" t="s">
        <v>63</v>
      </c>
      <c r="C92" s="196">
        <f>_xlfn.XLOOKUP(B92,'ZEV market share'!$B$4:$B$23,'ZEV market share'!$L$4:$L$23)</f>
        <v>1.47356651567929E-2</v>
      </c>
      <c r="D92" s="196">
        <f>_xlfn.XLOOKUP(B92,'Class coverage'!$B$4:$B$23,'Class coverage'!$K$4:$K$23)</f>
        <v>0.125</v>
      </c>
      <c r="E92" s="7">
        <f>_xlfn.XLOOKUP(B92,'Energy consumption'!$B$4:$B$23,'Energy consumption'!$K$4:$K$23)</f>
        <v>171</v>
      </c>
      <c r="F92" s="7">
        <f>_xlfn.XLOOKUP(B92,'Charging speed'!$B$4:$B$23,'Charging speed'!$G$4:$G$23)</f>
        <v>47</v>
      </c>
      <c r="G92" s="7">
        <f>_xlfn.XLOOKUP(B92,'Driving range'!$B$4:$B$23,'Driving range'!$K$4:$K$23)</f>
        <v>205</v>
      </c>
      <c r="H92" s="193">
        <f>_xlfn.XLOOKUP(B92,'Renewable energy'!$B$4:$B$31,'Renewable energy'!$P$4:$P$31)</f>
        <v>0</v>
      </c>
      <c r="I92" s="193">
        <f>_xlfn.XLOOKUP(B92,'Battery recycling'!$B$3:$B$22,'Battery recycling'!$K$3:$K$22)</f>
        <v>0</v>
      </c>
      <c r="J92" s="195">
        <f>_xlfn.XLOOKUP(B92,'ZEV target'!$B$4:$B$38,'ZEV target'!$N$4:$N$38)</f>
        <v>0.32467532467532467</v>
      </c>
      <c r="K92" s="197">
        <f>_xlfn.XLOOKUP(B92,'ZEV investment'!$B$3:$B$22,'ZEV investment'!$G$3:$G$22)</f>
        <v>731.84862490574687</v>
      </c>
      <c r="L92" s="343">
        <f>IFERROR(_xlfn.XLOOKUP(B92,'Executive compensation'!$B$3:$B$22,'Executive compensation'!$L$3:$L$22),0)</f>
        <v>0</v>
      </c>
      <c r="M92" s="71"/>
      <c r="N92" s="93"/>
      <c r="O92" s="71"/>
      <c r="P92" s="71"/>
      <c r="Q92" s="71"/>
      <c r="R92" s="71"/>
      <c r="AD92" s="174"/>
      <c r="AG92" s="174"/>
      <c r="AH92" s="174"/>
      <c r="AI92" s="174"/>
      <c r="AJ92" s="174"/>
      <c r="AK92" s="174"/>
      <c r="AL92" s="174"/>
      <c r="AM92" s="174"/>
      <c r="AN92" s="174"/>
      <c r="AO92" s="174"/>
      <c r="AP92" s="174"/>
      <c r="AQ92" s="174"/>
      <c r="AR92" s="174"/>
      <c r="AS92" s="174"/>
    </row>
    <row r="93" spans="1:45">
      <c r="A93" s="21"/>
      <c r="B93" s="226"/>
      <c r="C93" s="41"/>
      <c r="D93" s="61"/>
      <c r="E93" s="61"/>
      <c r="F93" s="61"/>
      <c r="G93" s="62"/>
      <c r="H93" s="30"/>
      <c r="I93" s="20"/>
      <c r="J93" s="62"/>
      <c r="K93" s="62"/>
      <c r="M93" s="41"/>
      <c r="N93" s="41"/>
      <c r="O93" s="72"/>
      <c r="P93" s="72"/>
    </row>
    <row r="94" spans="1:45">
      <c r="A94" s="22"/>
      <c r="B94" s="42"/>
      <c r="C94" s="42"/>
      <c r="D94" s="61"/>
      <c r="E94" s="61"/>
      <c r="F94" s="61"/>
      <c r="G94" s="62"/>
      <c r="H94" s="30"/>
      <c r="I94" s="20"/>
      <c r="J94" s="62"/>
      <c r="K94" s="62"/>
      <c r="M94" s="42"/>
      <c r="N94" s="42"/>
      <c r="O94" s="72"/>
      <c r="P94" s="72"/>
    </row>
    <row r="95" spans="1:45">
      <c r="B95" s="42"/>
      <c r="C95" s="42"/>
      <c r="D95" s="61"/>
      <c r="E95" s="61"/>
      <c r="F95" s="61"/>
      <c r="G95" s="62"/>
      <c r="H95" s="30"/>
      <c r="I95" s="20"/>
      <c r="J95" s="62"/>
      <c r="K95" s="62"/>
    </row>
  </sheetData>
  <sheetProtection algorithmName="SHA-512" hashValue="xXtO0d9oiOKxuyZSGa7URYn5Ck2Q/xqvuB9jfA1Da12XGQrvSvwu/+ZI1AX3r48uf6eRwDUHlDsEOux8kqZ15w==" saltValue="jqlqkmbY9WP7YedhrWPgrw==" spinCount="100000" sheet="1" objects="1" scenarios="1" selectLockedCells="1" selectUnlockedCells="1"/>
  <mergeCells count="27">
    <mergeCell ref="D4:D5"/>
    <mergeCell ref="D6:D17"/>
    <mergeCell ref="D18:D23"/>
    <mergeCell ref="C2:D3"/>
    <mergeCell ref="U2:X2"/>
    <mergeCell ref="AP17:AP23"/>
    <mergeCell ref="AK2:AK3"/>
    <mergeCell ref="AL2:AP2"/>
    <mergeCell ref="AO3:AP3"/>
    <mergeCell ref="AP6:AP16"/>
    <mergeCell ref="AP4:AP5"/>
    <mergeCell ref="B2:B3"/>
    <mergeCell ref="AG3:AH3"/>
    <mergeCell ref="T2:T3"/>
    <mergeCell ref="U26:W26"/>
    <mergeCell ref="H2:M2"/>
    <mergeCell ref="N2:Q2"/>
    <mergeCell ref="E2:G2"/>
    <mergeCell ref="AH4:AH5"/>
    <mergeCell ref="AH6:AH17"/>
    <mergeCell ref="AH18:AH23"/>
    <mergeCell ref="AB2:AH2"/>
    <mergeCell ref="AA2:AA3"/>
    <mergeCell ref="W3:X3"/>
    <mergeCell ref="X6:X14"/>
    <mergeCell ref="X15:X23"/>
    <mergeCell ref="X4:X5"/>
  </mergeCells>
  <phoneticPr fontId="3" type="noConversion"/>
  <conditionalFormatting sqref="C4:C23">
    <cfRule type="expression" dxfId="27" priority="70">
      <formula>C4&lt;33.3</formula>
    </cfRule>
    <cfRule type="expression" dxfId="26" priority="71" stopIfTrue="1">
      <formula>C4&gt;66.67</formula>
    </cfRule>
    <cfRule type="expression" dxfId="25" priority="72">
      <formula>C4&gt;33.3</formula>
    </cfRule>
  </conditionalFormatting>
  <conditionalFormatting sqref="G4:G23">
    <cfRule type="expression" dxfId="24" priority="64" stopIfTrue="1">
      <formula>G4&lt;33.3</formula>
    </cfRule>
    <cfRule type="expression" dxfId="23" priority="65" stopIfTrue="1">
      <formula>G4&gt;66.67</formula>
    </cfRule>
    <cfRule type="expression" dxfId="22" priority="66">
      <formula>G4&gt;33.3</formula>
    </cfRule>
  </conditionalFormatting>
  <conditionalFormatting sqref="M4:M23">
    <cfRule type="expression" dxfId="21" priority="67">
      <formula>M4&lt;33.3</formula>
    </cfRule>
    <cfRule type="expression" dxfId="20" priority="68">
      <formula>M4&gt;66.67</formula>
    </cfRule>
    <cfRule type="expression" dxfId="19" priority="69" stopIfTrue="1">
      <formula>M4&gt;33.3</formula>
    </cfRule>
  </conditionalFormatting>
  <conditionalFormatting sqref="Q4:Q23">
    <cfRule type="expression" dxfId="18" priority="73" stopIfTrue="1">
      <formula>Q4&lt;33.3</formula>
    </cfRule>
    <cfRule type="expression" dxfId="17" priority="74" stopIfTrue="1">
      <formula>Q4&gt;66.67</formula>
    </cfRule>
    <cfRule type="expression" dxfId="16" priority="75" stopIfTrue="1">
      <formula>Q4&gt;33.3</formula>
    </cfRule>
  </conditionalFormatting>
  <conditionalFormatting sqref="U4:V23">
    <cfRule type="colorScale" priority="31">
      <colorScale>
        <cfvo type="min"/>
        <cfvo type="max"/>
        <color theme="0"/>
        <color theme="3" tint="0.59999389629810485"/>
      </colorScale>
    </cfRule>
    <cfRule type="colorScale" priority="32">
      <colorScale>
        <cfvo type="min"/>
        <cfvo type="max"/>
        <color theme="0"/>
        <color theme="3" tint="0.59999389629810485"/>
      </colorScale>
    </cfRule>
    <cfRule type="colorScale" priority="33">
      <colorScale>
        <cfvo type="min"/>
        <cfvo type="max"/>
        <color theme="0"/>
        <color theme="3" tint="0.39997558519241921"/>
      </colorScale>
    </cfRule>
    <cfRule type="colorScale" priority="34">
      <colorScale>
        <cfvo type="min"/>
        <cfvo type="max"/>
        <color theme="0"/>
        <color theme="0" tint="-0.249977111117893"/>
      </colorScale>
    </cfRule>
    <cfRule type="colorScale" priority="35">
      <colorScale>
        <cfvo type="min"/>
        <cfvo type="max"/>
        <color theme="0"/>
        <color theme="0" tint="-0.34998626667073579"/>
      </colorScale>
    </cfRule>
    <cfRule type="colorScale" priority="36">
      <colorScale>
        <cfvo type="min"/>
        <cfvo type="max"/>
        <color theme="0"/>
        <color rgb="FF00BAE2"/>
      </colorScale>
    </cfRule>
  </conditionalFormatting>
  <conditionalFormatting sqref="W4:W23">
    <cfRule type="expression" dxfId="15" priority="46">
      <formula>W4&lt;33.3</formula>
    </cfRule>
    <cfRule type="expression" dxfId="14" priority="47">
      <formula>W4&gt;66.67</formula>
    </cfRule>
    <cfRule type="expression" dxfId="13" priority="48" stopIfTrue="1">
      <formula>W4&gt;33.3</formula>
    </cfRule>
  </conditionalFormatting>
  <conditionalFormatting sqref="AB4:AF23">
    <cfRule type="colorScale" priority="30">
      <colorScale>
        <cfvo type="min"/>
        <cfvo type="max"/>
        <color theme="0"/>
        <color theme="3" tint="0.59999389629810485"/>
      </colorScale>
    </cfRule>
  </conditionalFormatting>
  <conditionalFormatting sqref="AG4:AG23">
    <cfRule type="expression" dxfId="12" priority="43" stopIfTrue="1">
      <formula>AG4&lt;33.3</formula>
    </cfRule>
    <cfRule type="expression" dxfId="11" priority="44">
      <formula>AG4&gt;66.67</formula>
    </cfRule>
    <cfRule type="expression" dxfId="10" priority="45" stopIfTrue="1">
      <formula>AG4&gt;33.3</formula>
    </cfRule>
  </conditionalFormatting>
  <conditionalFormatting sqref="AL4:AN23">
    <cfRule type="colorScale" priority="29">
      <colorScale>
        <cfvo type="min"/>
        <cfvo type="max"/>
        <color theme="0"/>
        <color theme="3" tint="0.59999389629810485"/>
      </colorScale>
    </cfRule>
  </conditionalFormatting>
  <conditionalFormatting sqref="AO4:AO23">
    <cfRule type="expression" dxfId="9" priority="40" stopIfTrue="1">
      <formula>AO4&lt;33.3</formula>
    </cfRule>
    <cfRule type="expression" dxfId="8" priority="41" stopIfTrue="1">
      <formula>AO4&gt;66.67</formula>
    </cfRule>
    <cfRule type="expression" dxfId="7" priority="42" stopIfTrue="1">
      <formula>AO4&gt;33.3</formula>
    </cfRule>
  </conditionalFormatting>
  <conditionalFormatting sqref="AD75:AS92">
    <cfRule type="colorScale" priority="120">
      <colorScale>
        <cfvo type="min"/>
        <cfvo type="percentile" val="50"/>
        <cfvo type="max"/>
        <color rgb="FFF8696B"/>
        <color rgb="FFFFEB84"/>
        <color rgb="FF63BE7B"/>
      </colorScale>
    </cfRule>
  </conditionalFormatting>
  <conditionalFormatting sqref="E4:F23 H4:L23 N4:P23">
    <cfRule type="colorScale" priority="1">
      <colorScale>
        <cfvo type="min"/>
        <cfvo type="max"/>
        <color theme="0"/>
        <color theme="0" tint="-0.249977111117893"/>
      </colorScale>
    </cfRule>
  </conditionalFormatting>
  <pageMargins left="0.7" right="0.7" top="0.75" bottom="0.75" header="0.3" footer="0.3"/>
  <pageSetup orientation="portrait" horizontalDpi="0" verticalDpi="0"/>
  <ignoredErrors>
    <ignoredError sqref="E50:E6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21C54-D518-D349-8B79-94827BD82E20}">
  <sheetPr>
    <tabColor theme="0"/>
  </sheetPr>
  <dimension ref="B1:AE252"/>
  <sheetViews>
    <sheetView zoomScaleNormal="100" workbookViewId="0">
      <selection activeCell="B1" sqref="B1"/>
    </sheetView>
  </sheetViews>
  <sheetFormatPr baseColWidth="10" defaultColWidth="11" defaultRowHeight="16"/>
  <cols>
    <col min="1" max="1" width="4.33203125" customWidth="1"/>
    <col min="2" max="2" width="26.1640625" customWidth="1"/>
    <col min="3" max="3" width="16" customWidth="1"/>
    <col min="4" max="4" width="14.83203125" customWidth="1"/>
    <col min="5" max="20" width="14.1640625" customWidth="1"/>
    <col min="21" max="23" width="12.83203125" customWidth="1"/>
    <col min="24" max="24" width="14.6640625" customWidth="1"/>
    <col min="25" max="27" width="12.83203125" customWidth="1"/>
    <col min="28" max="29" width="15.83203125" bestFit="1" customWidth="1"/>
    <col min="30" max="30" width="13.1640625" customWidth="1"/>
    <col min="31" max="31" width="15.6640625" bestFit="1" customWidth="1"/>
  </cols>
  <sheetData>
    <row r="1" spans="2:31">
      <c r="B1" s="227"/>
      <c r="C1" s="223"/>
      <c r="D1" s="223"/>
      <c r="K1" s="204"/>
      <c r="L1" s="204"/>
      <c r="M1" s="4"/>
      <c r="X1" s="3"/>
    </row>
    <row r="2" spans="2:31">
      <c r="B2" s="386" t="s">
        <v>8</v>
      </c>
      <c r="C2" s="386" t="s">
        <v>89</v>
      </c>
      <c r="D2" s="386"/>
      <c r="E2" s="386"/>
      <c r="F2" s="386"/>
      <c r="G2" s="386"/>
      <c r="H2" s="386"/>
      <c r="I2" s="386"/>
      <c r="K2" s="204"/>
      <c r="L2" s="204"/>
      <c r="M2" s="4"/>
      <c r="X2" s="3"/>
    </row>
    <row r="3" spans="2:31">
      <c r="B3" s="386"/>
      <c r="C3" s="336" t="s">
        <v>77</v>
      </c>
      <c r="D3" s="336" t="s">
        <v>78</v>
      </c>
      <c r="E3" s="336" t="s">
        <v>79</v>
      </c>
      <c r="F3" s="336" t="s">
        <v>80</v>
      </c>
      <c r="G3" s="336" t="s">
        <v>81</v>
      </c>
      <c r="H3" s="336" t="s">
        <v>82</v>
      </c>
      <c r="I3" s="336" t="s">
        <v>100</v>
      </c>
      <c r="M3" s="4"/>
    </row>
    <row r="4" spans="2:31">
      <c r="B4" s="325" t="s">
        <v>15</v>
      </c>
      <c r="C4" s="326">
        <f t="shared" ref="C4:C23" si="0">SUMIFS($D$28:$D$53,$C$28:$C$53,B4)</f>
        <v>1787203</v>
      </c>
      <c r="D4" s="326">
        <f t="shared" ref="D4:D23" si="1">SUMIFS($E$28:$E$53,$C$28:$C$53,B4)</f>
        <v>883946</v>
      </c>
      <c r="E4" s="326">
        <f t="shared" ref="E4:E23" si="2">SUMIFS($F$28:$F$53,$C$28:$C$53,B4)</f>
        <v>2113164</v>
      </c>
      <c r="F4" s="326">
        <f t="shared" ref="F4:F23" si="3">SUMIFS($G$28:$G$53,$C$28:$C$53,B4)</f>
        <v>1906080</v>
      </c>
      <c r="G4" s="326">
        <f t="shared" ref="G4:G23" si="4">SUMIFS($H$28:$H$53,$C$28:$C$53,B4)</f>
        <v>161381</v>
      </c>
      <c r="H4" s="326">
        <f t="shared" ref="H4:H23" si="5">SUMIFS($I$28:$I$53,$C$28:$C$53,B4)</f>
        <v>13851</v>
      </c>
      <c r="I4" s="326">
        <f>SUM(C4:H4)</f>
        <v>6865625</v>
      </c>
      <c r="J4" s="302"/>
      <c r="K4" s="302"/>
      <c r="M4" s="4"/>
      <c r="Y4" s="95"/>
      <c r="Z4" s="95"/>
      <c r="AA4" s="95"/>
      <c r="AB4" s="95"/>
      <c r="AC4" s="95"/>
      <c r="AD4" s="95"/>
      <c r="AE4" s="63"/>
    </row>
    <row r="5" spans="2:31">
      <c r="B5" s="205" t="s">
        <v>41</v>
      </c>
      <c r="C5" s="206">
        <f t="shared" si="0"/>
        <v>2281896</v>
      </c>
      <c r="D5" s="206">
        <f t="shared" si="1"/>
        <v>2966166</v>
      </c>
      <c r="E5" s="206">
        <f t="shared" si="2"/>
        <v>594332</v>
      </c>
      <c r="F5" s="206">
        <f t="shared" si="3"/>
        <v>61713</v>
      </c>
      <c r="G5" s="206">
        <f t="shared" si="4"/>
        <v>101185</v>
      </c>
      <c r="H5" s="206">
        <f t="shared" si="5"/>
        <v>47334</v>
      </c>
      <c r="I5" s="206">
        <f t="shared" ref="I5:I23" si="6">SUM(C5:H5)</f>
        <v>6052626</v>
      </c>
      <c r="J5" s="302"/>
      <c r="K5" s="302"/>
      <c r="M5" s="4"/>
      <c r="Y5" s="95"/>
      <c r="Z5" s="95"/>
      <c r="AA5" s="95"/>
      <c r="AB5" s="95"/>
      <c r="AC5" s="95"/>
      <c r="AD5" s="95"/>
      <c r="AE5" s="63"/>
    </row>
    <row r="6" spans="2:31">
      <c r="B6" s="205" t="s">
        <v>84</v>
      </c>
      <c r="C6" s="206">
        <f t="shared" si="0"/>
        <v>312353</v>
      </c>
      <c r="D6" s="206">
        <f t="shared" si="1"/>
        <v>1056276</v>
      </c>
      <c r="E6" s="206">
        <f t="shared" si="2"/>
        <v>1474224</v>
      </c>
      <c r="F6" s="206">
        <f t="shared" si="3"/>
        <v>526</v>
      </c>
      <c r="G6" s="206">
        <f t="shared" si="4"/>
        <v>807067</v>
      </c>
      <c r="H6" s="206">
        <f t="shared" si="5"/>
        <v>1229811</v>
      </c>
      <c r="I6" s="206">
        <f t="shared" si="6"/>
        <v>4880257</v>
      </c>
      <c r="J6" s="302"/>
      <c r="K6" s="302"/>
      <c r="M6" s="4"/>
      <c r="Y6" s="95"/>
      <c r="Z6" s="95"/>
      <c r="AA6" s="95"/>
      <c r="AB6" s="95"/>
      <c r="AC6" s="95"/>
      <c r="AD6" s="95"/>
      <c r="AE6" s="63"/>
    </row>
    <row r="7" spans="2:31">
      <c r="B7" s="205" t="s">
        <v>48</v>
      </c>
      <c r="C7" s="206">
        <f t="shared" si="0"/>
        <v>67650</v>
      </c>
      <c r="D7" s="206">
        <f t="shared" si="1"/>
        <v>2544067</v>
      </c>
      <c r="E7" s="206">
        <f t="shared" si="2"/>
        <v>1574034</v>
      </c>
      <c r="F7" s="206">
        <f t="shared" si="3"/>
        <v>35877</v>
      </c>
      <c r="G7" s="206">
        <f t="shared" si="4"/>
        <v>19523</v>
      </c>
      <c r="H7" s="206">
        <f t="shared" si="5"/>
        <v>9812</v>
      </c>
      <c r="I7" s="206">
        <f t="shared" si="6"/>
        <v>4250963</v>
      </c>
      <c r="J7" s="302"/>
      <c r="K7" s="302"/>
      <c r="M7" s="4"/>
      <c r="Y7" s="95"/>
      <c r="Z7" s="95"/>
      <c r="AA7" s="95"/>
      <c r="AB7" s="95"/>
      <c r="AC7" s="95"/>
      <c r="AD7" s="95"/>
      <c r="AE7" s="63"/>
    </row>
    <row r="8" spans="2:31">
      <c r="B8" s="205" t="s">
        <v>51</v>
      </c>
      <c r="C8" s="206">
        <f t="shared" si="0"/>
        <v>1332124</v>
      </c>
      <c r="D8" s="206">
        <f t="shared" si="1"/>
        <v>66727</v>
      </c>
      <c r="E8" s="206">
        <f t="shared" si="2"/>
        <v>983507</v>
      </c>
      <c r="F8" s="206">
        <f t="shared" si="3"/>
        <v>568003</v>
      </c>
      <c r="G8" s="206">
        <f t="shared" si="4"/>
        <v>95022</v>
      </c>
      <c r="H8" s="206">
        <f t="shared" si="5"/>
        <v>3140</v>
      </c>
      <c r="I8" s="206">
        <f t="shared" si="6"/>
        <v>3048523</v>
      </c>
      <c r="J8" s="302"/>
      <c r="K8" s="302"/>
      <c r="M8" s="4"/>
      <c r="Y8" s="95"/>
      <c r="Z8" s="95"/>
      <c r="AA8" s="95"/>
      <c r="AB8" s="95"/>
      <c r="AC8" s="95"/>
      <c r="AD8" s="95"/>
      <c r="AE8" s="63"/>
    </row>
    <row r="9" spans="2:31">
      <c r="B9" s="205" t="s">
        <v>54</v>
      </c>
      <c r="C9" s="206">
        <f t="shared" si="0"/>
        <v>261957</v>
      </c>
      <c r="D9" s="206">
        <f t="shared" si="1"/>
        <v>834106</v>
      </c>
      <c r="E9" s="206">
        <f t="shared" si="2"/>
        <v>1921401</v>
      </c>
      <c r="F9" s="206">
        <f t="shared" si="3"/>
        <v>421</v>
      </c>
      <c r="G9" s="206">
        <f t="shared" si="4"/>
        <v>0</v>
      </c>
      <c r="H9" s="206">
        <f t="shared" si="5"/>
        <v>7848</v>
      </c>
      <c r="I9" s="206">
        <f t="shared" si="6"/>
        <v>3025733</v>
      </c>
      <c r="J9" s="302"/>
      <c r="K9" s="302"/>
      <c r="M9" s="4"/>
      <c r="Y9" s="95"/>
      <c r="Z9" s="95"/>
      <c r="AA9" s="95"/>
      <c r="AB9" s="95"/>
      <c r="AC9" s="95"/>
      <c r="AD9" s="95"/>
      <c r="AE9" s="63"/>
    </row>
    <row r="10" spans="2:31">
      <c r="B10" s="205" t="s">
        <v>52</v>
      </c>
      <c r="C10" s="206">
        <f t="shared" si="0"/>
        <v>728432</v>
      </c>
      <c r="D10" s="206">
        <f t="shared" si="1"/>
        <v>1089</v>
      </c>
      <c r="E10" s="206">
        <f t="shared" si="2"/>
        <v>2170117</v>
      </c>
      <c r="F10" s="206">
        <f t="shared" si="3"/>
        <v>1658</v>
      </c>
      <c r="G10" s="206">
        <f t="shared" si="4"/>
        <v>0</v>
      </c>
      <c r="H10" s="206">
        <f t="shared" si="5"/>
        <v>38216</v>
      </c>
      <c r="I10" s="206">
        <f t="shared" si="6"/>
        <v>2939512</v>
      </c>
      <c r="J10" s="302"/>
      <c r="K10" s="302"/>
      <c r="M10" s="4"/>
      <c r="Y10" s="95"/>
      <c r="Z10" s="95"/>
      <c r="AA10" s="95"/>
      <c r="AB10" s="95"/>
      <c r="AC10" s="95"/>
      <c r="AD10" s="95"/>
      <c r="AE10" s="63"/>
    </row>
    <row r="11" spans="2:31">
      <c r="B11" s="205" t="s">
        <v>55</v>
      </c>
      <c r="C11" s="206">
        <f t="shared" si="0"/>
        <v>818918</v>
      </c>
      <c r="D11" s="206">
        <f t="shared" si="1"/>
        <v>260066</v>
      </c>
      <c r="E11" s="206">
        <f t="shared" si="2"/>
        <v>729350</v>
      </c>
      <c r="F11" s="206">
        <f t="shared" si="3"/>
        <v>449458</v>
      </c>
      <c r="G11" s="206">
        <f t="shared" si="4"/>
        <v>35077</v>
      </c>
      <c r="H11" s="206">
        <f t="shared" si="5"/>
        <v>0</v>
      </c>
      <c r="I11" s="206">
        <f t="shared" si="6"/>
        <v>2292869</v>
      </c>
      <c r="J11" s="302"/>
      <c r="K11" s="302"/>
      <c r="M11" s="4"/>
      <c r="Y11" s="95"/>
      <c r="Z11" s="95"/>
      <c r="AA11" s="95"/>
      <c r="AB11" s="95"/>
      <c r="AC11" s="95"/>
      <c r="AD11" s="95"/>
      <c r="AE11" s="63"/>
    </row>
    <row r="12" spans="2:31">
      <c r="B12" s="205" t="s">
        <v>57</v>
      </c>
      <c r="C12" s="206">
        <f t="shared" si="0"/>
        <v>0</v>
      </c>
      <c r="D12" s="206">
        <f t="shared" si="1"/>
        <v>142393</v>
      </c>
      <c r="E12" s="206">
        <f t="shared" si="2"/>
        <v>0</v>
      </c>
      <c r="F12" s="206">
        <f t="shared" si="3"/>
        <v>602722</v>
      </c>
      <c r="G12" s="206">
        <f t="shared" si="4"/>
        <v>1613625</v>
      </c>
      <c r="H12" s="206">
        <f t="shared" si="5"/>
        <v>0</v>
      </c>
      <c r="I12" s="206">
        <f t="shared" si="6"/>
        <v>2358740</v>
      </c>
      <c r="J12" s="302"/>
      <c r="K12" s="302"/>
      <c r="M12" s="4"/>
      <c r="Y12" s="95"/>
      <c r="Z12" s="95"/>
      <c r="AA12" s="95"/>
      <c r="AB12" s="95"/>
      <c r="AC12" s="95"/>
      <c r="AD12" s="95"/>
      <c r="AE12" s="63"/>
    </row>
    <row r="13" spans="2:31">
      <c r="B13" s="205" t="s">
        <v>49</v>
      </c>
      <c r="C13" s="206">
        <f t="shared" si="0"/>
        <v>1311018</v>
      </c>
      <c r="D13" s="206">
        <f t="shared" si="1"/>
        <v>283020</v>
      </c>
      <c r="E13" s="206">
        <f t="shared" si="2"/>
        <v>111719</v>
      </c>
      <c r="F13" s="206">
        <f t="shared" si="3"/>
        <v>16345</v>
      </c>
      <c r="G13" s="206">
        <f t="shared" si="4"/>
        <v>1897</v>
      </c>
      <c r="H13" s="206">
        <f t="shared" si="5"/>
        <v>17225</v>
      </c>
      <c r="I13" s="206">
        <f t="shared" si="6"/>
        <v>1741224</v>
      </c>
      <c r="J13" s="302"/>
      <c r="K13" s="302"/>
      <c r="M13" s="4"/>
      <c r="Y13" s="95"/>
      <c r="Z13" s="95"/>
      <c r="AA13" s="95"/>
      <c r="AB13" s="95"/>
      <c r="AC13" s="95"/>
      <c r="AD13" s="95"/>
      <c r="AE13" s="63"/>
    </row>
    <row r="14" spans="2:31">
      <c r="B14" s="205" t="s">
        <v>43</v>
      </c>
      <c r="C14" s="206">
        <f t="shared" si="0"/>
        <v>651089</v>
      </c>
      <c r="D14" s="206">
        <f t="shared" si="1"/>
        <v>818101</v>
      </c>
      <c r="E14" s="206">
        <f t="shared" si="2"/>
        <v>363360</v>
      </c>
      <c r="F14" s="206">
        <f t="shared" si="3"/>
        <v>50639</v>
      </c>
      <c r="G14" s="206">
        <f t="shared" si="4"/>
        <v>12009</v>
      </c>
      <c r="H14" s="206">
        <f t="shared" si="5"/>
        <v>89992</v>
      </c>
      <c r="I14" s="206">
        <f t="shared" si="6"/>
        <v>1985190</v>
      </c>
      <c r="J14" s="302"/>
      <c r="K14" s="302"/>
      <c r="M14" s="4"/>
      <c r="Y14" s="95"/>
      <c r="Z14" s="95"/>
      <c r="AA14" s="95"/>
      <c r="AB14" s="95"/>
      <c r="AC14" s="95"/>
      <c r="AD14" s="95"/>
      <c r="AE14" s="63"/>
    </row>
    <row r="15" spans="2:31">
      <c r="B15" s="205" t="s">
        <v>50</v>
      </c>
      <c r="C15" s="206">
        <f t="shared" si="0"/>
        <v>588295</v>
      </c>
      <c r="D15" s="206">
        <f t="shared" si="1"/>
        <v>835293</v>
      </c>
      <c r="E15" s="206">
        <f t="shared" si="2"/>
        <v>350949</v>
      </c>
      <c r="F15" s="206">
        <f t="shared" si="3"/>
        <v>52362</v>
      </c>
      <c r="G15" s="206">
        <f t="shared" si="4"/>
        <v>15822</v>
      </c>
      <c r="H15" s="206">
        <f t="shared" si="5"/>
        <v>80976</v>
      </c>
      <c r="I15" s="206">
        <f t="shared" si="6"/>
        <v>1923697</v>
      </c>
      <c r="J15" s="302"/>
      <c r="K15" s="302"/>
      <c r="M15" s="4"/>
      <c r="Y15" s="95"/>
      <c r="Z15" s="95"/>
      <c r="AA15" s="95"/>
      <c r="AB15" s="95"/>
      <c r="AC15" s="95"/>
      <c r="AD15" s="95"/>
      <c r="AE15" s="63"/>
    </row>
    <row r="16" spans="2:31">
      <c r="B16" s="205" t="s">
        <v>45</v>
      </c>
      <c r="C16" s="206">
        <f t="shared" si="0"/>
        <v>1530224</v>
      </c>
      <c r="D16" s="206">
        <f t="shared" si="1"/>
        <v>113953</v>
      </c>
      <c r="E16" s="206">
        <f t="shared" si="2"/>
        <v>0</v>
      </c>
      <c r="F16" s="206">
        <f t="shared" si="3"/>
        <v>11</v>
      </c>
      <c r="G16" s="206">
        <f t="shared" si="4"/>
        <v>48063</v>
      </c>
      <c r="H16" s="206">
        <f t="shared" si="5"/>
        <v>0</v>
      </c>
      <c r="I16" s="206">
        <f t="shared" si="6"/>
        <v>1692251</v>
      </c>
      <c r="J16" s="302"/>
      <c r="K16" s="302"/>
      <c r="M16" s="4"/>
      <c r="Y16" s="95"/>
      <c r="Z16" s="95"/>
      <c r="AA16" s="95"/>
      <c r="AB16" s="95"/>
      <c r="AC16" s="95"/>
      <c r="AD16" s="95"/>
      <c r="AE16" s="63"/>
    </row>
    <row r="17" spans="2:31">
      <c r="B17" s="205" t="s">
        <v>46</v>
      </c>
      <c r="C17" s="206">
        <f t="shared" si="0"/>
        <v>1896</v>
      </c>
      <c r="D17" s="206">
        <f t="shared" si="1"/>
        <v>1294725</v>
      </c>
      <c r="E17" s="206">
        <f t="shared" si="2"/>
        <v>0</v>
      </c>
      <c r="F17" s="206">
        <f t="shared" si="3"/>
        <v>8618</v>
      </c>
      <c r="G17" s="206">
        <f t="shared" si="4"/>
        <v>87118</v>
      </c>
      <c r="H17" s="206">
        <f t="shared" si="5"/>
        <v>52621</v>
      </c>
      <c r="I17" s="206">
        <f t="shared" si="6"/>
        <v>1444978</v>
      </c>
      <c r="J17" s="302"/>
      <c r="K17" s="302"/>
      <c r="M17" s="4"/>
      <c r="Y17" s="95"/>
      <c r="Z17" s="95"/>
      <c r="AA17" s="95"/>
      <c r="AB17" s="95"/>
      <c r="AC17" s="95"/>
      <c r="AD17" s="95"/>
      <c r="AE17" s="63"/>
    </row>
    <row r="18" spans="2:31">
      <c r="B18" s="205" t="s">
        <v>53</v>
      </c>
      <c r="C18" s="206">
        <f t="shared" si="0"/>
        <v>1342916</v>
      </c>
      <c r="D18" s="206">
        <f t="shared" si="1"/>
        <v>0</v>
      </c>
      <c r="E18" s="206">
        <f t="shared" si="2"/>
        <v>0</v>
      </c>
      <c r="F18" s="206">
        <f t="shared" si="3"/>
        <v>0</v>
      </c>
      <c r="G18" s="206">
        <f t="shared" si="4"/>
        <v>0</v>
      </c>
      <c r="H18" s="206">
        <f t="shared" si="5"/>
        <v>0</v>
      </c>
      <c r="I18" s="206">
        <f t="shared" si="6"/>
        <v>1342916</v>
      </c>
      <c r="J18" s="302"/>
      <c r="K18" s="302"/>
      <c r="M18" s="4"/>
      <c r="Y18" s="95"/>
      <c r="Z18" s="95"/>
      <c r="AA18" s="95"/>
      <c r="AB18" s="95"/>
      <c r="AC18" s="95"/>
      <c r="AD18" s="95"/>
      <c r="AE18" s="63"/>
    </row>
    <row r="19" spans="2:31">
      <c r="B19" s="205" t="s">
        <v>16</v>
      </c>
      <c r="C19" s="206">
        <f t="shared" si="0"/>
        <v>1347407</v>
      </c>
      <c r="D19" s="206">
        <f t="shared" si="1"/>
        <v>0</v>
      </c>
      <c r="E19" s="206">
        <f t="shared" si="2"/>
        <v>0</v>
      </c>
      <c r="F19" s="206">
        <f t="shared" si="3"/>
        <v>31</v>
      </c>
      <c r="G19" s="206">
        <f t="shared" si="4"/>
        <v>700</v>
      </c>
      <c r="H19" s="206">
        <f t="shared" si="5"/>
        <v>0</v>
      </c>
      <c r="I19" s="206">
        <f t="shared" si="6"/>
        <v>1348138</v>
      </c>
      <c r="J19" s="302"/>
      <c r="K19" s="302"/>
      <c r="M19" s="4"/>
      <c r="Y19" s="95"/>
      <c r="Z19" s="95"/>
      <c r="AA19" s="95"/>
      <c r="AB19" s="95"/>
      <c r="AC19" s="95"/>
      <c r="AD19" s="95"/>
      <c r="AE19" s="63"/>
    </row>
    <row r="20" spans="2:31">
      <c r="B20" s="205" t="s">
        <v>17</v>
      </c>
      <c r="C20" s="206">
        <f t="shared" si="0"/>
        <v>441675</v>
      </c>
      <c r="D20" s="206">
        <f t="shared" si="1"/>
        <v>233257</v>
      </c>
      <c r="E20" s="206">
        <f t="shared" si="2"/>
        <v>522444</v>
      </c>
      <c r="F20" s="206">
        <f t="shared" si="3"/>
        <v>0</v>
      </c>
      <c r="G20" s="206">
        <f t="shared" si="4"/>
        <v>0</v>
      </c>
      <c r="H20" s="206">
        <f t="shared" si="5"/>
        <v>0</v>
      </c>
      <c r="I20" s="206">
        <f t="shared" si="6"/>
        <v>1197376</v>
      </c>
      <c r="J20" s="302"/>
      <c r="K20" s="302"/>
      <c r="M20" s="4"/>
      <c r="Y20" s="95"/>
      <c r="Z20" s="95"/>
      <c r="AA20" s="95"/>
      <c r="AB20" s="95"/>
      <c r="AC20" s="95"/>
      <c r="AD20" s="95"/>
      <c r="AE20" s="63"/>
    </row>
    <row r="21" spans="2:31">
      <c r="B21" s="205" t="s">
        <v>59</v>
      </c>
      <c r="C21" s="206">
        <f t="shared" si="0"/>
        <v>36501</v>
      </c>
      <c r="D21" s="206">
        <f t="shared" si="1"/>
        <v>118126</v>
      </c>
      <c r="E21" s="206">
        <f t="shared" si="2"/>
        <v>68546</v>
      </c>
      <c r="F21" s="206">
        <f t="shared" si="3"/>
        <v>5564</v>
      </c>
      <c r="G21" s="206">
        <f t="shared" si="4"/>
        <v>719779</v>
      </c>
      <c r="H21" s="206">
        <f t="shared" si="5"/>
        <v>10050</v>
      </c>
      <c r="I21" s="206">
        <f t="shared" si="6"/>
        <v>958566</v>
      </c>
      <c r="J21" s="302"/>
      <c r="K21" s="302"/>
      <c r="M21" s="4"/>
      <c r="Y21" s="95"/>
      <c r="Z21" s="95"/>
      <c r="AA21" s="95"/>
      <c r="AB21" s="95"/>
      <c r="AC21" s="95"/>
      <c r="AD21" s="95"/>
      <c r="AE21" s="63"/>
    </row>
    <row r="22" spans="2:31">
      <c r="B22" s="205" t="s">
        <v>58</v>
      </c>
      <c r="C22" s="206">
        <f t="shared" si="0"/>
        <v>923951</v>
      </c>
      <c r="D22" s="206">
        <f t="shared" si="1"/>
        <v>817</v>
      </c>
      <c r="E22" s="206">
        <f t="shared" si="2"/>
        <v>0</v>
      </c>
      <c r="F22" s="206">
        <f t="shared" si="3"/>
        <v>0</v>
      </c>
      <c r="G22" s="206">
        <f t="shared" si="4"/>
        <v>0</v>
      </c>
      <c r="H22" s="206">
        <f t="shared" si="5"/>
        <v>0</v>
      </c>
      <c r="I22" s="206">
        <f t="shared" si="6"/>
        <v>924768</v>
      </c>
      <c r="J22" s="302"/>
      <c r="K22" s="302"/>
      <c r="M22" s="4"/>
      <c r="Y22" s="95"/>
      <c r="Z22" s="95"/>
      <c r="AA22" s="95"/>
      <c r="AB22" s="95"/>
      <c r="AC22" s="95"/>
      <c r="AD22" s="95"/>
      <c r="AE22" s="63"/>
    </row>
    <row r="23" spans="2:31">
      <c r="B23" s="205" t="s">
        <v>63</v>
      </c>
      <c r="C23" s="206">
        <f t="shared" si="0"/>
        <v>72508</v>
      </c>
      <c r="D23" s="206">
        <f t="shared" si="1"/>
        <v>139713</v>
      </c>
      <c r="E23" s="206">
        <f t="shared" si="2"/>
        <v>294909</v>
      </c>
      <c r="F23" s="206">
        <f t="shared" si="3"/>
        <v>161308</v>
      </c>
      <c r="G23" s="206">
        <f t="shared" si="4"/>
        <v>0</v>
      </c>
      <c r="H23" s="206">
        <f t="shared" si="5"/>
        <v>0</v>
      </c>
      <c r="I23" s="206">
        <f t="shared" si="6"/>
        <v>668438</v>
      </c>
      <c r="J23" s="302"/>
      <c r="K23" s="302"/>
      <c r="M23" s="4"/>
      <c r="Y23" s="95"/>
      <c r="Z23" s="95"/>
      <c r="AA23" s="95"/>
      <c r="AB23" s="95"/>
      <c r="AC23" s="95"/>
      <c r="AD23" s="95"/>
      <c r="AE23" s="63"/>
    </row>
    <row r="24" spans="2:31" s="4" customFormat="1">
      <c r="I24" s="94"/>
      <c r="J24" s="94"/>
      <c r="P24" s="298"/>
      <c r="Q24" s="298"/>
      <c r="R24" s="299"/>
      <c r="S24" s="299"/>
      <c r="T24" s="299"/>
      <c r="U24" s="299"/>
      <c r="Y24" s="300"/>
    </row>
    <row r="25" spans="2:31" s="294" customFormat="1">
      <c r="B25" s="293" t="s">
        <v>361</v>
      </c>
      <c r="K25" s="295"/>
    </row>
    <row r="26" spans="2:31" s="294" customFormat="1">
      <c r="B26" s="307"/>
      <c r="C26" s="307"/>
      <c r="D26" s="308" t="s">
        <v>89</v>
      </c>
      <c r="E26" s="308"/>
      <c r="F26" s="308"/>
      <c r="G26" s="308"/>
      <c r="H26" s="308"/>
      <c r="I26" s="308"/>
      <c r="J26" s="308"/>
      <c r="K26" s="308"/>
      <c r="L26" s="308" t="s">
        <v>90</v>
      </c>
      <c r="M26" s="308"/>
      <c r="N26" s="308"/>
      <c r="O26" s="308"/>
      <c r="P26" s="308"/>
      <c r="Q26" s="308"/>
      <c r="R26" s="308"/>
      <c r="S26" s="308"/>
      <c r="T26" s="308" t="s">
        <v>91</v>
      </c>
      <c r="U26" s="308"/>
      <c r="V26" s="308"/>
      <c r="W26" s="308"/>
      <c r="X26" s="308"/>
      <c r="Y26" s="308"/>
      <c r="Z26" s="308"/>
      <c r="AA26" s="308"/>
    </row>
    <row r="27" spans="2:31" s="294" customFormat="1" ht="17">
      <c r="B27" s="189" t="s">
        <v>92</v>
      </c>
      <c r="C27" s="309" t="s">
        <v>93</v>
      </c>
      <c r="D27" s="310" t="s">
        <v>94</v>
      </c>
      <c r="E27" s="310" t="s">
        <v>95</v>
      </c>
      <c r="F27" s="310" t="s">
        <v>96</v>
      </c>
      <c r="G27" s="310" t="s">
        <v>97</v>
      </c>
      <c r="H27" s="310" t="s">
        <v>98</v>
      </c>
      <c r="I27" s="310" t="s">
        <v>99</v>
      </c>
      <c r="J27" s="311" t="s">
        <v>100</v>
      </c>
      <c r="K27" s="311" t="s">
        <v>101</v>
      </c>
      <c r="L27" s="310" t="s">
        <v>94</v>
      </c>
      <c r="M27" s="310" t="s">
        <v>95</v>
      </c>
      <c r="N27" s="310" t="s">
        <v>96</v>
      </c>
      <c r="O27" s="310" t="s">
        <v>97</v>
      </c>
      <c r="P27" s="310" t="s">
        <v>98</v>
      </c>
      <c r="Q27" s="311" t="s">
        <v>99</v>
      </c>
      <c r="R27" s="311" t="s">
        <v>100</v>
      </c>
      <c r="S27" s="311" t="s">
        <v>101</v>
      </c>
      <c r="T27" s="310" t="s">
        <v>94</v>
      </c>
      <c r="U27" s="310" t="s">
        <v>95</v>
      </c>
      <c r="V27" s="310" t="s">
        <v>96</v>
      </c>
      <c r="W27" s="310" t="s">
        <v>97</v>
      </c>
      <c r="X27" s="310" t="s">
        <v>98</v>
      </c>
      <c r="Y27" s="311" t="s">
        <v>99</v>
      </c>
      <c r="Z27" s="311" t="s">
        <v>100</v>
      </c>
      <c r="AA27" s="311" t="s">
        <v>101</v>
      </c>
    </row>
    <row r="28" spans="2:31" s="294" customFormat="1">
      <c r="B28" s="312" t="s">
        <v>15</v>
      </c>
      <c r="C28" s="312" t="s">
        <v>15</v>
      </c>
      <c r="D28" s="313">
        <f>L28+T28</f>
        <v>1787203</v>
      </c>
      <c r="E28" s="313">
        <f t="shared" ref="E28:I28" si="7">M28+U28</f>
        <v>883946</v>
      </c>
      <c r="F28" s="313">
        <f t="shared" si="7"/>
        <v>2113164</v>
      </c>
      <c r="G28" s="313">
        <f t="shared" si="7"/>
        <v>1906080</v>
      </c>
      <c r="H28" s="313">
        <f t="shared" si="7"/>
        <v>161381</v>
      </c>
      <c r="I28" s="313">
        <f t="shared" si="7"/>
        <v>13851</v>
      </c>
      <c r="J28" s="313">
        <f>SUM(D28:I28)</f>
        <v>6865625</v>
      </c>
      <c r="K28" s="295"/>
      <c r="L28" s="294">
        <f t="shared" ref="L28:L42" si="8">VLOOKUP(C28,$B$58:$V$184,2,0)</f>
        <v>1787203</v>
      </c>
      <c r="M28" s="294">
        <f t="shared" ref="M28:M42" si="9">VLOOKUP(C28,$B$58:$V$184,3,0)</f>
        <v>805157</v>
      </c>
      <c r="N28" s="294">
        <f t="shared" ref="N28:N42" si="10">VLOOKUP(C28,$B$58:$V$184,4,0)</f>
        <v>1766888</v>
      </c>
      <c r="O28" s="294">
        <f t="shared" ref="O28:O42" si="11">VLOOKUP(C28,$B$58:$V$184,5,0)</f>
        <v>1727403</v>
      </c>
      <c r="P28" s="294">
        <f t="shared" ref="P28:P42" si="12">VLOOKUP(C28,$B$58:$V$184,6,0)</f>
        <v>160806</v>
      </c>
      <c r="Q28" s="294">
        <f t="shared" ref="Q28:Q42" si="13">VLOOKUP(C28,$B$58:$V$184,7,0)</f>
        <v>13851</v>
      </c>
      <c r="R28" s="294">
        <f t="shared" ref="R28:R42" si="14">VLOOKUP(C28,$B$58:$V$184,8,0)</f>
        <v>6261308</v>
      </c>
      <c r="T28" s="294">
        <f>VLOOKUP(C28,$B$58:$V$184,9,0)</f>
        <v>0</v>
      </c>
      <c r="U28" s="294">
        <f>VLOOKUP(C28,$B$58:$V$184,10,0)</f>
        <v>78789</v>
      </c>
      <c r="V28" s="294">
        <f t="shared" ref="V28:V42" si="15">VLOOKUP(C28,$B$58:$V$184,11,0)</f>
        <v>346276</v>
      </c>
      <c r="W28" s="294">
        <f t="shared" ref="W28:W42" si="16">VLOOKUP(C28,$B$58:$V$184,12,0)</f>
        <v>178677</v>
      </c>
      <c r="X28" s="294">
        <f t="shared" ref="X28:X42" si="17">VLOOKUP(C28,$B$58:$V$184,13,0)</f>
        <v>575</v>
      </c>
      <c r="Y28" s="294">
        <f t="shared" ref="Y28:Y42" si="18">VLOOKUP(C28,$B$58:$V$184,14,0)</f>
        <v>0</v>
      </c>
      <c r="Z28" s="294">
        <f>SUM(T28:Y28)</f>
        <v>604317</v>
      </c>
    </row>
    <row r="29" spans="2:31" s="294" customFormat="1">
      <c r="B29" s="312" t="s">
        <v>41</v>
      </c>
      <c r="C29" s="312" t="s">
        <v>41</v>
      </c>
      <c r="D29" s="313">
        <f t="shared" ref="D29:D53" si="19">L29+T29</f>
        <v>2281896</v>
      </c>
      <c r="E29" s="313">
        <f t="shared" ref="E29:E53" si="20">M29+U29</f>
        <v>2966166</v>
      </c>
      <c r="F29" s="313">
        <f t="shared" ref="F29:F53" si="21">N29+V29</f>
        <v>594332</v>
      </c>
      <c r="G29" s="313">
        <f t="shared" ref="G29:G53" si="22">O29+W29</f>
        <v>61713</v>
      </c>
      <c r="H29" s="313">
        <f t="shared" ref="H29:H53" si="23">P29+X29</f>
        <v>101185</v>
      </c>
      <c r="I29" s="313">
        <f t="shared" ref="I29:I53" si="24">Q29+Y29</f>
        <v>47334</v>
      </c>
      <c r="J29" s="313">
        <f t="shared" ref="J29:J53" si="25">SUM(D29:I29)</f>
        <v>6052626</v>
      </c>
      <c r="K29" s="295"/>
      <c r="L29" s="294">
        <f t="shared" si="8"/>
        <v>2281896</v>
      </c>
      <c r="M29" s="294">
        <f t="shared" si="9"/>
        <v>2787212</v>
      </c>
      <c r="N29" s="294">
        <f t="shared" si="10"/>
        <v>558009</v>
      </c>
      <c r="O29" s="294">
        <f t="shared" si="11"/>
        <v>0</v>
      </c>
      <c r="P29" s="294">
        <f t="shared" si="12"/>
        <v>101185</v>
      </c>
      <c r="Q29" s="294">
        <f t="shared" si="13"/>
        <v>47334</v>
      </c>
      <c r="R29" s="294">
        <f t="shared" si="14"/>
        <v>5775636</v>
      </c>
      <c r="T29" s="294">
        <f t="shared" ref="T29:T42" si="26">VLOOKUP(C29,$B$58:$AE$184,9,0)</f>
        <v>0</v>
      </c>
      <c r="U29" s="294">
        <f t="shared" ref="U29:U42" si="27">VLOOKUP(C29,$B$58:$AE$184,10,0)</f>
        <v>178954</v>
      </c>
      <c r="V29" s="294">
        <f t="shared" si="15"/>
        <v>36323</v>
      </c>
      <c r="W29" s="294">
        <f t="shared" si="16"/>
        <v>61713</v>
      </c>
      <c r="X29" s="294">
        <f t="shared" si="17"/>
        <v>0</v>
      </c>
      <c r="Y29" s="294">
        <f t="shared" si="18"/>
        <v>0</v>
      </c>
      <c r="Z29" s="294">
        <f t="shared" ref="Z29:Z53" si="28">SUM(T29:Y29)</f>
        <v>276990</v>
      </c>
    </row>
    <row r="30" spans="2:31" s="294" customFormat="1">
      <c r="B30" s="312" t="s">
        <v>52</v>
      </c>
      <c r="C30" s="312" t="s">
        <v>52</v>
      </c>
      <c r="D30" s="313">
        <f t="shared" si="19"/>
        <v>728432</v>
      </c>
      <c r="E30" s="313">
        <f t="shared" si="20"/>
        <v>1089</v>
      </c>
      <c r="F30" s="313">
        <f t="shared" si="21"/>
        <v>2170117</v>
      </c>
      <c r="G30" s="313">
        <f t="shared" si="22"/>
        <v>1658</v>
      </c>
      <c r="H30" s="313">
        <f t="shared" si="23"/>
        <v>0</v>
      </c>
      <c r="I30" s="313">
        <f t="shared" si="24"/>
        <v>38216</v>
      </c>
      <c r="J30" s="313">
        <f t="shared" si="25"/>
        <v>2939512</v>
      </c>
      <c r="K30" s="295"/>
      <c r="L30" s="294">
        <f t="shared" si="8"/>
        <v>728432</v>
      </c>
      <c r="M30" s="294">
        <f t="shared" si="9"/>
        <v>938</v>
      </c>
      <c r="N30" s="294">
        <f t="shared" si="10"/>
        <v>1203561</v>
      </c>
      <c r="O30" s="294">
        <f t="shared" si="11"/>
        <v>0</v>
      </c>
      <c r="P30" s="294">
        <f t="shared" si="12"/>
        <v>0</v>
      </c>
      <c r="Q30" s="294">
        <f t="shared" si="13"/>
        <v>35368</v>
      </c>
      <c r="R30" s="294">
        <f t="shared" si="14"/>
        <v>1968299</v>
      </c>
      <c r="T30" s="294">
        <f t="shared" si="26"/>
        <v>0</v>
      </c>
      <c r="U30" s="294">
        <f t="shared" si="27"/>
        <v>151</v>
      </c>
      <c r="V30" s="294">
        <f t="shared" si="15"/>
        <v>966556</v>
      </c>
      <c r="W30" s="294">
        <f t="shared" si="16"/>
        <v>1658</v>
      </c>
      <c r="X30" s="294">
        <f t="shared" si="17"/>
        <v>0</v>
      </c>
      <c r="Y30" s="294">
        <f t="shared" si="18"/>
        <v>2848</v>
      </c>
      <c r="Z30" s="294">
        <f t="shared" si="28"/>
        <v>971213</v>
      </c>
    </row>
    <row r="31" spans="2:31" s="294" customFormat="1">
      <c r="B31" s="312" t="s">
        <v>48</v>
      </c>
      <c r="C31" s="312" t="s">
        <v>48</v>
      </c>
      <c r="D31" s="313">
        <f t="shared" si="19"/>
        <v>67650</v>
      </c>
      <c r="E31" s="313">
        <f t="shared" si="20"/>
        <v>2544067</v>
      </c>
      <c r="F31" s="313">
        <f t="shared" si="21"/>
        <v>1574034</v>
      </c>
      <c r="G31" s="313">
        <f t="shared" si="22"/>
        <v>35877</v>
      </c>
      <c r="H31" s="313">
        <f t="shared" si="23"/>
        <v>19523</v>
      </c>
      <c r="I31" s="313">
        <f t="shared" si="24"/>
        <v>9812</v>
      </c>
      <c r="J31" s="313">
        <f t="shared" si="25"/>
        <v>4250963</v>
      </c>
      <c r="K31" s="295"/>
      <c r="L31" s="294">
        <f t="shared" si="8"/>
        <v>67650</v>
      </c>
      <c r="M31" s="294">
        <f t="shared" si="9"/>
        <v>2058735</v>
      </c>
      <c r="N31" s="294">
        <f t="shared" si="10"/>
        <v>924116</v>
      </c>
      <c r="O31" s="294">
        <f t="shared" si="11"/>
        <v>0</v>
      </c>
      <c r="P31" s="294">
        <f t="shared" si="12"/>
        <v>19523</v>
      </c>
      <c r="Q31" s="294">
        <f t="shared" si="13"/>
        <v>9246</v>
      </c>
      <c r="R31" s="294">
        <f t="shared" si="14"/>
        <v>3079270</v>
      </c>
      <c r="T31" s="294">
        <f t="shared" si="26"/>
        <v>0</v>
      </c>
      <c r="U31" s="294">
        <f t="shared" si="27"/>
        <v>485332</v>
      </c>
      <c r="V31" s="294">
        <f t="shared" si="15"/>
        <v>649918</v>
      </c>
      <c r="W31" s="294">
        <f t="shared" si="16"/>
        <v>35877</v>
      </c>
      <c r="X31" s="294">
        <f t="shared" si="17"/>
        <v>0</v>
      </c>
      <c r="Y31" s="294">
        <f t="shared" si="18"/>
        <v>566</v>
      </c>
      <c r="Z31" s="294">
        <f t="shared" si="28"/>
        <v>1171693</v>
      </c>
    </row>
    <row r="32" spans="2:31" s="294" customFormat="1">
      <c r="B32" s="312" t="s">
        <v>51</v>
      </c>
      <c r="C32" s="312" t="s">
        <v>51</v>
      </c>
      <c r="D32" s="313">
        <f t="shared" si="19"/>
        <v>1332124</v>
      </c>
      <c r="E32" s="313">
        <f t="shared" si="20"/>
        <v>66727</v>
      </c>
      <c r="F32" s="313">
        <f t="shared" si="21"/>
        <v>983507</v>
      </c>
      <c r="G32" s="313">
        <f t="shared" si="22"/>
        <v>568003</v>
      </c>
      <c r="H32" s="313">
        <f t="shared" si="23"/>
        <v>95022</v>
      </c>
      <c r="I32" s="313">
        <f t="shared" si="24"/>
        <v>3140</v>
      </c>
      <c r="J32" s="313">
        <f t="shared" si="25"/>
        <v>3048523</v>
      </c>
      <c r="K32" s="295"/>
      <c r="L32" s="294">
        <f t="shared" si="8"/>
        <v>1332124</v>
      </c>
      <c r="M32" s="294">
        <f t="shared" si="9"/>
        <v>66710</v>
      </c>
      <c r="N32" s="294">
        <f t="shared" si="10"/>
        <v>940745</v>
      </c>
      <c r="O32" s="294">
        <f t="shared" si="11"/>
        <v>565864</v>
      </c>
      <c r="P32" s="294">
        <f t="shared" si="12"/>
        <v>95022</v>
      </c>
      <c r="Q32" s="294">
        <f t="shared" si="13"/>
        <v>3140</v>
      </c>
      <c r="R32" s="294">
        <f t="shared" si="14"/>
        <v>3003605</v>
      </c>
      <c r="T32" s="294">
        <f t="shared" si="26"/>
        <v>0</v>
      </c>
      <c r="U32" s="294">
        <f t="shared" si="27"/>
        <v>17</v>
      </c>
      <c r="V32" s="294">
        <f t="shared" si="15"/>
        <v>42762</v>
      </c>
      <c r="W32" s="294">
        <f t="shared" si="16"/>
        <v>2139</v>
      </c>
      <c r="X32" s="294">
        <f t="shared" si="17"/>
        <v>0</v>
      </c>
      <c r="Y32" s="294">
        <f t="shared" si="18"/>
        <v>0</v>
      </c>
      <c r="Z32" s="294">
        <f t="shared" si="28"/>
        <v>44918</v>
      </c>
    </row>
    <row r="33" spans="2:27" s="294" customFormat="1">
      <c r="B33" s="312" t="s">
        <v>85</v>
      </c>
      <c r="C33" s="312" t="s">
        <v>85</v>
      </c>
      <c r="D33" s="313">
        <f t="shared" si="19"/>
        <v>261957</v>
      </c>
      <c r="E33" s="313">
        <f t="shared" si="20"/>
        <v>834106</v>
      </c>
      <c r="F33" s="313">
        <f t="shared" si="21"/>
        <v>1921401</v>
      </c>
      <c r="G33" s="313">
        <f t="shared" si="22"/>
        <v>421</v>
      </c>
      <c r="H33" s="313">
        <f t="shared" si="23"/>
        <v>0</v>
      </c>
      <c r="I33" s="313">
        <f t="shared" si="24"/>
        <v>7848</v>
      </c>
      <c r="J33" s="313">
        <f t="shared" si="25"/>
        <v>3025733</v>
      </c>
      <c r="K33" s="295"/>
      <c r="L33" s="294">
        <f t="shared" si="8"/>
        <v>261957</v>
      </c>
      <c r="M33" s="294">
        <f t="shared" si="9"/>
        <v>549800</v>
      </c>
      <c r="N33" s="294">
        <f t="shared" si="10"/>
        <v>908921</v>
      </c>
      <c r="O33" s="294">
        <f t="shared" si="11"/>
        <v>0</v>
      </c>
      <c r="P33" s="294">
        <f t="shared" si="12"/>
        <v>0</v>
      </c>
      <c r="Q33" s="294">
        <f t="shared" si="13"/>
        <v>7230</v>
      </c>
      <c r="R33" s="294">
        <f t="shared" si="14"/>
        <v>1727908</v>
      </c>
      <c r="T33" s="294">
        <f t="shared" si="26"/>
        <v>0</v>
      </c>
      <c r="U33" s="294">
        <f t="shared" si="27"/>
        <v>284306</v>
      </c>
      <c r="V33" s="294">
        <f t="shared" si="15"/>
        <v>1012480</v>
      </c>
      <c r="W33" s="294">
        <f t="shared" si="16"/>
        <v>421</v>
      </c>
      <c r="X33" s="294">
        <f t="shared" si="17"/>
        <v>0</v>
      </c>
      <c r="Y33" s="294">
        <f t="shared" si="18"/>
        <v>618</v>
      </c>
      <c r="Z33" s="294">
        <f t="shared" si="28"/>
        <v>1297825</v>
      </c>
    </row>
    <row r="34" spans="2:27" s="294" customFormat="1">
      <c r="B34" s="312" t="s">
        <v>57</v>
      </c>
      <c r="C34" s="312" t="s">
        <v>57</v>
      </c>
      <c r="D34" s="313">
        <f t="shared" si="19"/>
        <v>0</v>
      </c>
      <c r="E34" s="313">
        <f t="shared" si="20"/>
        <v>142393</v>
      </c>
      <c r="F34" s="313">
        <f t="shared" si="21"/>
        <v>0</v>
      </c>
      <c r="G34" s="313">
        <f t="shared" si="22"/>
        <v>602722</v>
      </c>
      <c r="H34" s="313">
        <f t="shared" si="23"/>
        <v>1613625</v>
      </c>
      <c r="I34" s="313">
        <f t="shared" si="24"/>
        <v>0</v>
      </c>
      <c r="J34" s="313">
        <f t="shared" si="25"/>
        <v>2358740</v>
      </c>
      <c r="K34" s="295"/>
      <c r="L34" s="294">
        <f t="shared" si="8"/>
        <v>0</v>
      </c>
      <c r="M34" s="294">
        <f t="shared" si="9"/>
        <v>132631</v>
      </c>
      <c r="N34" s="294">
        <f t="shared" si="10"/>
        <v>0</v>
      </c>
      <c r="O34" s="294">
        <f t="shared" si="11"/>
        <v>545866</v>
      </c>
      <c r="P34" s="294">
        <f t="shared" si="12"/>
        <v>1450951</v>
      </c>
      <c r="Q34" s="294">
        <f t="shared" si="13"/>
        <v>0</v>
      </c>
      <c r="R34" s="294">
        <f t="shared" si="14"/>
        <v>2129448</v>
      </c>
      <c r="T34" s="294">
        <f t="shared" si="26"/>
        <v>0</v>
      </c>
      <c r="U34" s="294">
        <f t="shared" si="27"/>
        <v>9762</v>
      </c>
      <c r="V34" s="294">
        <f t="shared" si="15"/>
        <v>0</v>
      </c>
      <c r="W34" s="294">
        <f t="shared" si="16"/>
        <v>56856</v>
      </c>
      <c r="X34" s="294">
        <f t="shared" si="17"/>
        <v>162674</v>
      </c>
      <c r="Y34" s="294">
        <f t="shared" si="18"/>
        <v>0</v>
      </c>
      <c r="Z34" s="294">
        <f t="shared" si="28"/>
        <v>229292</v>
      </c>
    </row>
    <row r="35" spans="2:27" s="294" customFormat="1">
      <c r="B35" s="312" t="s">
        <v>55</v>
      </c>
      <c r="C35" s="312" t="s">
        <v>55</v>
      </c>
      <c r="D35" s="313">
        <f t="shared" si="19"/>
        <v>818918</v>
      </c>
      <c r="E35" s="313">
        <f t="shared" si="20"/>
        <v>260066</v>
      </c>
      <c r="F35" s="313">
        <f t="shared" si="21"/>
        <v>729350</v>
      </c>
      <c r="G35" s="313">
        <f t="shared" si="22"/>
        <v>449458</v>
      </c>
      <c r="H35" s="313">
        <f t="shared" si="23"/>
        <v>35077</v>
      </c>
      <c r="I35" s="313">
        <f t="shared" si="24"/>
        <v>0</v>
      </c>
      <c r="J35" s="313">
        <f t="shared" si="25"/>
        <v>2292869</v>
      </c>
      <c r="K35" s="295"/>
      <c r="L35" s="294">
        <f t="shared" si="8"/>
        <v>807071</v>
      </c>
      <c r="M35" s="294">
        <f t="shared" si="9"/>
        <v>237426</v>
      </c>
      <c r="N35" s="294">
        <f t="shared" si="10"/>
        <v>637967</v>
      </c>
      <c r="O35" s="294">
        <f t="shared" si="11"/>
        <v>405909</v>
      </c>
      <c r="P35" s="294">
        <f t="shared" si="12"/>
        <v>35077</v>
      </c>
      <c r="Q35" s="294">
        <f t="shared" si="13"/>
        <v>0</v>
      </c>
      <c r="R35" s="294">
        <f t="shared" si="14"/>
        <v>2123450</v>
      </c>
      <c r="T35" s="294">
        <f t="shared" si="26"/>
        <v>11847</v>
      </c>
      <c r="U35" s="294">
        <f t="shared" si="27"/>
        <v>22640</v>
      </c>
      <c r="V35" s="294">
        <f t="shared" si="15"/>
        <v>91383</v>
      </c>
      <c r="W35" s="294">
        <f t="shared" si="16"/>
        <v>43549</v>
      </c>
      <c r="X35" s="294">
        <f t="shared" si="17"/>
        <v>0</v>
      </c>
      <c r="Y35" s="294">
        <f t="shared" si="18"/>
        <v>0</v>
      </c>
      <c r="Z35" s="294">
        <f t="shared" si="28"/>
        <v>169419</v>
      </c>
    </row>
    <row r="36" spans="2:27" s="294" customFormat="1">
      <c r="B36" s="312" t="s">
        <v>43</v>
      </c>
      <c r="C36" s="312" t="s">
        <v>43</v>
      </c>
      <c r="D36" s="313">
        <f t="shared" si="19"/>
        <v>651089</v>
      </c>
      <c r="E36" s="313">
        <f t="shared" si="20"/>
        <v>818101</v>
      </c>
      <c r="F36" s="313">
        <f t="shared" si="21"/>
        <v>363360</v>
      </c>
      <c r="G36" s="313">
        <f t="shared" si="22"/>
        <v>50639</v>
      </c>
      <c r="H36" s="313">
        <f t="shared" si="23"/>
        <v>12009</v>
      </c>
      <c r="I36" s="313">
        <f t="shared" si="24"/>
        <v>89992</v>
      </c>
      <c r="J36" s="313">
        <f t="shared" si="25"/>
        <v>1985190</v>
      </c>
      <c r="K36" s="295"/>
      <c r="L36" s="294">
        <f t="shared" si="8"/>
        <v>651089</v>
      </c>
      <c r="M36" s="294">
        <f t="shared" si="9"/>
        <v>816928</v>
      </c>
      <c r="N36" s="294">
        <f t="shared" si="10"/>
        <v>361892</v>
      </c>
      <c r="O36" s="294">
        <f t="shared" si="11"/>
        <v>0</v>
      </c>
      <c r="P36" s="294">
        <f t="shared" si="12"/>
        <v>12009</v>
      </c>
      <c r="Q36" s="294">
        <f t="shared" si="13"/>
        <v>89905</v>
      </c>
      <c r="R36" s="294">
        <f t="shared" si="14"/>
        <v>1931823</v>
      </c>
      <c r="T36" s="294">
        <f t="shared" si="26"/>
        <v>0</v>
      </c>
      <c r="U36" s="294">
        <f t="shared" si="27"/>
        <v>1173</v>
      </c>
      <c r="V36" s="294">
        <f t="shared" si="15"/>
        <v>1468</v>
      </c>
      <c r="W36" s="294">
        <f t="shared" si="16"/>
        <v>50639</v>
      </c>
      <c r="X36" s="294">
        <f t="shared" si="17"/>
        <v>0</v>
      </c>
      <c r="Y36" s="294">
        <f t="shared" si="18"/>
        <v>87</v>
      </c>
      <c r="Z36" s="294">
        <f t="shared" si="28"/>
        <v>53367</v>
      </c>
    </row>
    <row r="37" spans="2:27" s="294" customFormat="1">
      <c r="B37" s="312" t="s">
        <v>50</v>
      </c>
      <c r="C37" s="312" t="s">
        <v>50</v>
      </c>
      <c r="D37" s="313">
        <f t="shared" si="19"/>
        <v>588295</v>
      </c>
      <c r="E37" s="313">
        <f t="shared" si="20"/>
        <v>835293</v>
      </c>
      <c r="F37" s="313">
        <f t="shared" si="21"/>
        <v>350949</v>
      </c>
      <c r="G37" s="313">
        <f t="shared" si="22"/>
        <v>52362</v>
      </c>
      <c r="H37" s="313">
        <f t="shared" si="23"/>
        <v>15822</v>
      </c>
      <c r="I37" s="313">
        <f t="shared" si="24"/>
        <v>80976</v>
      </c>
      <c r="J37" s="313">
        <f t="shared" si="25"/>
        <v>1923697</v>
      </c>
      <c r="K37" s="295"/>
      <c r="L37" s="294">
        <f t="shared" si="8"/>
        <v>588295</v>
      </c>
      <c r="M37" s="294">
        <f t="shared" si="9"/>
        <v>670438</v>
      </c>
      <c r="N37" s="294">
        <f t="shared" si="10"/>
        <v>286764</v>
      </c>
      <c r="O37" s="294">
        <f t="shared" si="11"/>
        <v>0</v>
      </c>
      <c r="P37" s="294">
        <f t="shared" si="12"/>
        <v>15822</v>
      </c>
      <c r="Q37" s="294">
        <f t="shared" si="13"/>
        <v>80976</v>
      </c>
      <c r="R37" s="294">
        <f t="shared" si="14"/>
        <v>1642295</v>
      </c>
      <c r="T37" s="294">
        <f t="shared" si="26"/>
        <v>0</v>
      </c>
      <c r="U37" s="294">
        <f t="shared" si="27"/>
        <v>164855</v>
      </c>
      <c r="V37" s="294">
        <f t="shared" si="15"/>
        <v>64185</v>
      </c>
      <c r="W37" s="294">
        <f t="shared" si="16"/>
        <v>52362</v>
      </c>
      <c r="X37" s="294">
        <f t="shared" si="17"/>
        <v>0</v>
      </c>
      <c r="Y37" s="294">
        <f t="shared" si="18"/>
        <v>0</v>
      </c>
      <c r="Z37" s="294">
        <f t="shared" si="28"/>
        <v>281402</v>
      </c>
    </row>
    <row r="38" spans="2:27" s="294" customFormat="1">
      <c r="B38" s="312" t="s">
        <v>53</v>
      </c>
      <c r="C38" s="312" t="s">
        <v>53</v>
      </c>
      <c r="D38" s="313">
        <f t="shared" si="19"/>
        <v>1342916</v>
      </c>
      <c r="E38" s="313">
        <f t="shared" si="20"/>
        <v>0</v>
      </c>
      <c r="F38" s="313">
        <f t="shared" si="21"/>
        <v>0</v>
      </c>
      <c r="G38" s="313">
        <f t="shared" si="22"/>
        <v>0</v>
      </c>
      <c r="H38" s="313">
        <f t="shared" si="23"/>
        <v>0</v>
      </c>
      <c r="I38" s="313">
        <f t="shared" si="24"/>
        <v>0</v>
      </c>
      <c r="J38" s="313">
        <f t="shared" si="25"/>
        <v>1342916</v>
      </c>
      <c r="K38" s="295"/>
      <c r="L38" s="294">
        <f t="shared" si="8"/>
        <v>1065381</v>
      </c>
      <c r="M38" s="294">
        <f t="shared" si="9"/>
        <v>0</v>
      </c>
      <c r="N38" s="294">
        <f t="shared" si="10"/>
        <v>0</v>
      </c>
      <c r="O38" s="294">
        <f t="shared" si="11"/>
        <v>0</v>
      </c>
      <c r="P38" s="294">
        <f t="shared" si="12"/>
        <v>0</v>
      </c>
      <c r="Q38" s="294">
        <f t="shared" si="13"/>
        <v>0</v>
      </c>
      <c r="R38" s="294">
        <f t="shared" si="14"/>
        <v>1065381</v>
      </c>
      <c r="T38" s="294">
        <f t="shared" si="26"/>
        <v>277535</v>
      </c>
      <c r="U38" s="294">
        <f t="shared" si="27"/>
        <v>0</v>
      </c>
      <c r="V38" s="294">
        <f t="shared" si="15"/>
        <v>0</v>
      </c>
      <c r="W38" s="294">
        <f t="shared" si="16"/>
        <v>0</v>
      </c>
      <c r="X38" s="294">
        <f t="shared" si="17"/>
        <v>0</v>
      </c>
      <c r="Y38" s="294">
        <f t="shared" si="18"/>
        <v>0</v>
      </c>
      <c r="Z38" s="294">
        <f t="shared" si="28"/>
        <v>277535</v>
      </c>
    </row>
    <row r="39" spans="2:27" s="294" customFormat="1">
      <c r="B39" s="312" t="s">
        <v>16</v>
      </c>
      <c r="C39" s="312" t="s">
        <v>16</v>
      </c>
      <c r="D39" s="313">
        <f t="shared" si="19"/>
        <v>1347407</v>
      </c>
      <c r="E39" s="313">
        <f t="shared" si="20"/>
        <v>0</v>
      </c>
      <c r="F39" s="313">
        <f t="shared" si="21"/>
        <v>0</v>
      </c>
      <c r="G39" s="313">
        <f t="shared" si="22"/>
        <v>31</v>
      </c>
      <c r="H39" s="313">
        <f t="shared" si="23"/>
        <v>700</v>
      </c>
      <c r="I39" s="313">
        <f t="shared" si="24"/>
        <v>0</v>
      </c>
      <c r="J39" s="313">
        <f t="shared" si="25"/>
        <v>1348138</v>
      </c>
      <c r="K39" s="295"/>
      <c r="L39" s="294">
        <f t="shared" si="8"/>
        <v>1347377</v>
      </c>
      <c r="M39" s="294">
        <f t="shared" si="9"/>
        <v>0</v>
      </c>
      <c r="N39" s="294">
        <f t="shared" si="10"/>
        <v>0</v>
      </c>
      <c r="O39" s="294">
        <f t="shared" si="11"/>
        <v>0</v>
      </c>
      <c r="P39" s="294">
        <f t="shared" si="12"/>
        <v>700</v>
      </c>
      <c r="Q39" s="294">
        <f t="shared" si="13"/>
        <v>0</v>
      </c>
      <c r="R39" s="294">
        <f t="shared" si="14"/>
        <v>1348077</v>
      </c>
      <c r="T39" s="294">
        <f t="shared" si="26"/>
        <v>30</v>
      </c>
      <c r="U39" s="294">
        <f t="shared" si="27"/>
        <v>0</v>
      </c>
      <c r="V39" s="294">
        <f t="shared" si="15"/>
        <v>0</v>
      </c>
      <c r="W39" s="294">
        <f t="shared" si="16"/>
        <v>31</v>
      </c>
      <c r="X39" s="294">
        <f t="shared" si="17"/>
        <v>0</v>
      </c>
      <c r="Y39" s="294">
        <f t="shared" si="18"/>
        <v>0</v>
      </c>
      <c r="Z39" s="294">
        <f t="shared" si="28"/>
        <v>61</v>
      </c>
    </row>
    <row r="40" spans="2:27" s="294" customFormat="1">
      <c r="B40" s="312" t="s">
        <v>46</v>
      </c>
      <c r="C40" s="312" t="s">
        <v>46</v>
      </c>
      <c r="D40" s="313">
        <f t="shared" si="19"/>
        <v>1896</v>
      </c>
      <c r="E40" s="313">
        <f t="shared" si="20"/>
        <v>1294725</v>
      </c>
      <c r="F40" s="313">
        <f t="shared" si="21"/>
        <v>0</v>
      </c>
      <c r="G40" s="313">
        <f t="shared" si="22"/>
        <v>8618</v>
      </c>
      <c r="H40" s="313">
        <f t="shared" si="23"/>
        <v>87118</v>
      </c>
      <c r="I40" s="313">
        <f t="shared" si="24"/>
        <v>52621</v>
      </c>
      <c r="J40" s="313">
        <f t="shared" si="25"/>
        <v>1444978</v>
      </c>
      <c r="K40" s="295"/>
      <c r="L40" s="294">
        <f t="shared" si="8"/>
        <v>1896</v>
      </c>
      <c r="M40" s="294">
        <f t="shared" si="9"/>
        <v>1056626</v>
      </c>
      <c r="N40" s="294">
        <f t="shared" si="10"/>
        <v>0</v>
      </c>
      <c r="O40" s="294">
        <f t="shared" si="11"/>
        <v>0</v>
      </c>
      <c r="P40" s="294">
        <f t="shared" si="12"/>
        <v>87118</v>
      </c>
      <c r="Q40" s="294">
        <f t="shared" si="13"/>
        <v>51487</v>
      </c>
      <c r="R40" s="294">
        <f t="shared" si="14"/>
        <v>1197127</v>
      </c>
      <c r="T40" s="294">
        <f t="shared" si="26"/>
        <v>0</v>
      </c>
      <c r="U40" s="294">
        <f t="shared" si="27"/>
        <v>238099</v>
      </c>
      <c r="V40" s="294">
        <f t="shared" si="15"/>
        <v>0</v>
      </c>
      <c r="W40" s="294">
        <f t="shared" si="16"/>
        <v>8618</v>
      </c>
      <c r="X40" s="294">
        <f t="shared" si="17"/>
        <v>0</v>
      </c>
      <c r="Y40" s="294">
        <f t="shared" si="18"/>
        <v>1134</v>
      </c>
      <c r="Z40" s="294">
        <f t="shared" si="28"/>
        <v>247851</v>
      </c>
    </row>
    <row r="41" spans="2:27" s="294" customFormat="1">
      <c r="B41" s="312" t="s">
        <v>17</v>
      </c>
      <c r="C41" s="312" t="s">
        <v>17</v>
      </c>
      <c r="D41" s="313">
        <f t="shared" si="19"/>
        <v>441675</v>
      </c>
      <c r="E41" s="313">
        <f t="shared" si="20"/>
        <v>233257</v>
      </c>
      <c r="F41" s="313">
        <f t="shared" si="21"/>
        <v>522444</v>
      </c>
      <c r="G41" s="313">
        <f t="shared" si="22"/>
        <v>0</v>
      </c>
      <c r="H41" s="313">
        <f t="shared" si="23"/>
        <v>0</v>
      </c>
      <c r="I41" s="313">
        <f t="shared" si="24"/>
        <v>0</v>
      </c>
      <c r="J41" s="313">
        <f t="shared" si="25"/>
        <v>1197376</v>
      </c>
      <c r="K41" s="295"/>
      <c r="L41" s="294">
        <f t="shared" si="8"/>
        <v>441675</v>
      </c>
      <c r="M41" s="294">
        <f t="shared" si="9"/>
        <v>233257</v>
      </c>
      <c r="N41" s="294">
        <f t="shared" si="10"/>
        <v>522444</v>
      </c>
      <c r="O41" s="294">
        <f t="shared" si="11"/>
        <v>0</v>
      </c>
      <c r="P41" s="294">
        <f t="shared" si="12"/>
        <v>0</v>
      </c>
      <c r="Q41" s="294">
        <f t="shared" si="13"/>
        <v>0</v>
      </c>
      <c r="R41" s="294">
        <f t="shared" si="14"/>
        <v>1197376</v>
      </c>
      <c r="T41" s="294">
        <f t="shared" si="26"/>
        <v>0</v>
      </c>
      <c r="U41" s="294">
        <f t="shared" si="27"/>
        <v>0</v>
      </c>
      <c r="V41" s="294">
        <f t="shared" si="15"/>
        <v>0</v>
      </c>
      <c r="W41" s="294">
        <f t="shared" si="16"/>
        <v>0</v>
      </c>
      <c r="X41" s="294">
        <f t="shared" si="17"/>
        <v>0</v>
      </c>
      <c r="Y41" s="294">
        <f t="shared" si="18"/>
        <v>0</v>
      </c>
      <c r="Z41" s="294">
        <f t="shared" si="28"/>
        <v>0</v>
      </c>
    </row>
    <row r="42" spans="2:27" s="294" customFormat="1">
      <c r="B42" s="312" t="s">
        <v>45</v>
      </c>
      <c r="C42" s="312" t="s">
        <v>45</v>
      </c>
      <c r="D42" s="313">
        <f t="shared" si="19"/>
        <v>1530224</v>
      </c>
      <c r="E42" s="313">
        <f t="shared" si="20"/>
        <v>113953</v>
      </c>
      <c r="F42" s="313">
        <f t="shared" si="21"/>
        <v>0</v>
      </c>
      <c r="G42" s="313">
        <f t="shared" si="22"/>
        <v>11</v>
      </c>
      <c r="H42" s="313">
        <f t="shared" si="23"/>
        <v>48063</v>
      </c>
      <c r="I42" s="313">
        <f t="shared" si="24"/>
        <v>0</v>
      </c>
      <c r="J42" s="313">
        <f t="shared" si="25"/>
        <v>1692251</v>
      </c>
      <c r="K42" s="314"/>
      <c r="L42" s="294">
        <f t="shared" si="8"/>
        <v>1066940</v>
      </c>
      <c r="M42" s="294">
        <f t="shared" si="9"/>
        <v>113888</v>
      </c>
      <c r="N42" s="294">
        <f t="shared" si="10"/>
        <v>0</v>
      </c>
      <c r="O42" s="294">
        <f t="shared" si="11"/>
        <v>0</v>
      </c>
      <c r="P42" s="294">
        <f t="shared" si="12"/>
        <v>48063</v>
      </c>
      <c r="Q42" s="294">
        <f t="shared" si="13"/>
        <v>0</v>
      </c>
      <c r="R42" s="294">
        <f t="shared" si="14"/>
        <v>1228891</v>
      </c>
      <c r="T42" s="294">
        <f t="shared" si="26"/>
        <v>463284</v>
      </c>
      <c r="U42" s="294">
        <f t="shared" si="27"/>
        <v>65</v>
      </c>
      <c r="V42" s="294">
        <f t="shared" si="15"/>
        <v>0</v>
      </c>
      <c r="W42" s="294">
        <f t="shared" si="16"/>
        <v>11</v>
      </c>
      <c r="X42" s="294">
        <f t="shared" si="17"/>
        <v>0</v>
      </c>
      <c r="Y42" s="294">
        <f t="shared" si="18"/>
        <v>0</v>
      </c>
      <c r="Z42" s="294">
        <f>SUM(T42:Y42)</f>
        <v>463360</v>
      </c>
    </row>
    <row r="43" spans="2:27" s="294" customFormat="1">
      <c r="B43" s="312" t="s">
        <v>58</v>
      </c>
      <c r="C43" s="312" t="s">
        <v>58</v>
      </c>
      <c r="D43" s="313">
        <f t="shared" si="19"/>
        <v>923951</v>
      </c>
      <c r="E43" s="313">
        <f t="shared" si="20"/>
        <v>817</v>
      </c>
      <c r="F43" s="313">
        <f t="shared" si="21"/>
        <v>0</v>
      </c>
      <c r="G43" s="313">
        <f t="shared" si="22"/>
        <v>0</v>
      </c>
      <c r="H43" s="313">
        <f t="shared" si="23"/>
        <v>0</v>
      </c>
      <c r="I43" s="313">
        <f t="shared" si="24"/>
        <v>0</v>
      </c>
      <c r="J43" s="313">
        <f t="shared" si="25"/>
        <v>924768</v>
      </c>
      <c r="K43" s="295"/>
      <c r="L43" s="294">
        <f t="shared" ref="L43:L51" si="29">VLOOKUP(C43,$B$58:$V$184,2,0)</f>
        <v>691526</v>
      </c>
      <c r="M43" s="294">
        <f t="shared" ref="M43:M51" si="30">VLOOKUP(C43,$B$58:$V$184,3,0)</f>
        <v>60</v>
      </c>
      <c r="N43" s="294">
        <f t="shared" ref="N43:N51" si="31">VLOOKUP(C43,$B$58:$V$184,4,0)</f>
        <v>0</v>
      </c>
      <c r="O43" s="294">
        <f t="shared" ref="O43:O51" si="32">VLOOKUP(C43,$B$58:$V$184,5,0)</f>
        <v>0</v>
      </c>
      <c r="P43" s="294">
        <f t="shared" ref="P43:P51" si="33">VLOOKUP(C43,$B$58:$V$184,6,0)</f>
        <v>0</v>
      </c>
      <c r="Q43" s="294">
        <f t="shared" ref="Q43:Q51" si="34">VLOOKUP(C43,$B$58:$V$184,7,0)</f>
        <v>0</v>
      </c>
      <c r="R43" s="294">
        <f t="shared" ref="R43:R51" si="35">VLOOKUP(C43,$B$58:$V$184,8,0)</f>
        <v>691586</v>
      </c>
      <c r="T43" s="294">
        <f t="shared" ref="T43:T51" si="36">VLOOKUP(C43,$B$58:$AE$184,9,0)</f>
        <v>232425</v>
      </c>
      <c r="U43" s="294">
        <f t="shared" ref="U43:U51" si="37">VLOOKUP(C43,$B$58:$AE$184,10,0)</f>
        <v>757</v>
      </c>
      <c r="V43" s="294">
        <f t="shared" ref="V43:V51" si="38">VLOOKUP(C43,$B$58:$V$184,11,0)</f>
        <v>0</v>
      </c>
      <c r="W43" s="294">
        <f t="shared" ref="W43:W51" si="39">VLOOKUP(C43,$B$58:$V$184,12,0)</f>
        <v>0</v>
      </c>
      <c r="X43" s="294">
        <f t="shared" ref="X43:X51" si="40">VLOOKUP(C43,$B$58:$V$184,13,0)</f>
        <v>0</v>
      </c>
      <c r="Y43" s="294">
        <f t="shared" ref="Y43:Y51" si="41">VLOOKUP(C43,$B$58:$V$184,14,0)</f>
        <v>0</v>
      </c>
      <c r="Z43" s="294">
        <f t="shared" si="28"/>
        <v>233182</v>
      </c>
    </row>
    <row r="44" spans="2:27" s="294" customFormat="1">
      <c r="B44" s="312" t="s">
        <v>84</v>
      </c>
      <c r="C44" s="312" t="s">
        <v>84</v>
      </c>
      <c r="D44" s="313">
        <f t="shared" si="19"/>
        <v>312353</v>
      </c>
      <c r="E44" s="313">
        <f t="shared" si="20"/>
        <v>1056276</v>
      </c>
      <c r="F44" s="313">
        <f t="shared" si="21"/>
        <v>1474224</v>
      </c>
      <c r="G44" s="313">
        <f t="shared" si="22"/>
        <v>526</v>
      </c>
      <c r="H44" s="313">
        <f t="shared" si="23"/>
        <v>807067</v>
      </c>
      <c r="I44" s="313">
        <f t="shared" si="24"/>
        <v>1229811</v>
      </c>
      <c r="J44" s="313">
        <f t="shared" si="25"/>
        <v>4880257</v>
      </c>
      <c r="K44" s="295"/>
      <c r="L44" s="294">
        <f t="shared" si="29"/>
        <v>312353</v>
      </c>
      <c r="M44" s="294">
        <f t="shared" si="30"/>
        <v>1054506</v>
      </c>
      <c r="N44" s="294">
        <f t="shared" si="31"/>
        <v>1437744</v>
      </c>
      <c r="O44" s="294">
        <f t="shared" si="32"/>
        <v>0</v>
      </c>
      <c r="P44" s="294">
        <f t="shared" si="33"/>
        <v>807067</v>
      </c>
      <c r="Q44" s="294">
        <f t="shared" si="34"/>
        <v>1040861</v>
      </c>
      <c r="R44" s="294">
        <f t="shared" si="35"/>
        <v>4652531</v>
      </c>
      <c r="T44" s="294">
        <f t="shared" si="36"/>
        <v>0</v>
      </c>
      <c r="U44" s="294">
        <f t="shared" si="37"/>
        <v>1770</v>
      </c>
      <c r="V44" s="294">
        <f t="shared" si="38"/>
        <v>36480</v>
      </c>
      <c r="W44" s="294">
        <f t="shared" si="39"/>
        <v>526</v>
      </c>
      <c r="X44" s="294">
        <f t="shared" si="40"/>
        <v>0</v>
      </c>
      <c r="Y44" s="294">
        <f t="shared" si="41"/>
        <v>188950</v>
      </c>
      <c r="Z44" s="294">
        <f t="shared" si="28"/>
        <v>227726</v>
      </c>
    </row>
    <row r="45" spans="2:27" s="294" customFormat="1">
      <c r="B45" s="312" t="s">
        <v>49</v>
      </c>
      <c r="C45" s="312" t="s">
        <v>49</v>
      </c>
      <c r="D45" s="313">
        <f t="shared" si="19"/>
        <v>1311018</v>
      </c>
      <c r="E45" s="313">
        <f t="shared" si="20"/>
        <v>283020</v>
      </c>
      <c r="F45" s="313">
        <f t="shared" si="21"/>
        <v>111719</v>
      </c>
      <c r="G45" s="313">
        <f t="shared" si="22"/>
        <v>16345</v>
      </c>
      <c r="H45" s="313">
        <f t="shared" si="23"/>
        <v>1897</v>
      </c>
      <c r="I45" s="313">
        <f t="shared" si="24"/>
        <v>17225</v>
      </c>
      <c r="J45" s="313">
        <f t="shared" si="25"/>
        <v>1741224</v>
      </c>
      <c r="K45" s="315"/>
      <c r="L45" s="294">
        <f t="shared" si="29"/>
        <v>1269131</v>
      </c>
      <c r="M45" s="294">
        <f t="shared" si="30"/>
        <v>279312</v>
      </c>
      <c r="N45" s="294">
        <f t="shared" si="31"/>
        <v>111509</v>
      </c>
      <c r="O45" s="294">
        <f t="shared" si="32"/>
        <v>0</v>
      </c>
      <c r="P45" s="294">
        <f t="shared" si="33"/>
        <v>1897</v>
      </c>
      <c r="Q45" s="294">
        <f t="shared" si="34"/>
        <v>17225</v>
      </c>
      <c r="R45" s="294">
        <f t="shared" si="35"/>
        <v>1679074</v>
      </c>
      <c r="T45" s="294">
        <f t="shared" si="36"/>
        <v>41887</v>
      </c>
      <c r="U45" s="294">
        <f t="shared" si="37"/>
        <v>3708</v>
      </c>
      <c r="V45" s="294">
        <f t="shared" si="38"/>
        <v>210</v>
      </c>
      <c r="W45" s="294">
        <f t="shared" si="39"/>
        <v>16345</v>
      </c>
      <c r="X45" s="294">
        <f t="shared" si="40"/>
        <v>0</v>
      </c>
      <c r="Y45" s="294">
        <f t="shared" si="41"/>
        <v>0</v>
      </c>
      <c r="Z45" s="294">
        <f t="shared" si="28"/>
        <v>62150</v>
      </c>
    </row>
    <row r="46" spans="2:27" s="294" customFormat="1">
      <c r="B46" s="312" t="s">
        <v>86</v>
      </c>
      <c r="C46" s="312" t="s">
        <v>86</v>
      </c>
      <c r="D46" s="313">
        <f t="shared" si="19"/>
        <v>36501</v>
      </c>
      <c r="E46" s="313">
        <f t="shared" si="20"/>
        <v>118126</v>
      </c>
      <c r="F46" s="313">
        <f t="shared" si="21"/>
        <v>68546</v>
      </c>
      <c r="G46" s="313">
        <f t="shared" si="22"/>
        <v>5564</v>
      </c>
      <c r="H46" s="313">
        <f t="shared" si="23"/>
        <v>719779</v>
      </c>
      <c r="I46" s="313">
        <f t="shared" si="24"/>
        <v>10050</v>
      </c>
      <c r="J46" s="313">
        <f t="shared" si="25"/>
        <v>958566</v>
      </c>
      <c r="K46" s="295"/>
      <c r="L46" s="294">
        <f t="shared" si="29"/>
        <v>36501</v>
      </c>
      <c r="M46" s="294">
        <f t="shared" si="30"/>
        <v>110274</v>
      </c>
      <c r="N46" s="294">
        <f t="shared" si="31"/>
        <v>68546</v>
      </c>
      <c r="O46" s="294">
        <f t="shared" si="32"/>
        <v>0</v>
      </c>
      <c r="P46" s="294">
        <f t="shared" si="33"/>
        <v>528328</v>
      </c>
      <c r="Q46" s="294">
        <f t="shared" si="34"/>
        <v>3276</v>
      </c>
      <c r="R46" s="294">
        <f t="shared" si="35"/>
        <v>746925</v>
      </c>
      <c r="T46" s="294">
        <f t="shared" si="36"/>
        <v>0</v>
      </c>
      <c r="U46" s="294">
        <f t="shared" si="37"/>
        <v>7852</v>
      </c>
      <c r="V46" s="294">
        <f t="shared" si="38"/>
        <v>0</v>
      </c>
      <c r="W46" s="294">
        <f t="shared" si="39"/>
        <v>5564</v>
      </c>
      <c r="X46" s="294">
        <f t="shared" si="40"/>
        <v>191451</v>
      </c>
      <c r="Y46" s="294">
        <f t="shared" si="41"/>
        <v>6774</v>
      </c>
      <c r="Z46" s="294">
        <f t="shared" si="28"/>
        <v>211641</v>
      </c>
    </row>
    <row r="47" spans="2:27" s="294" customFormat="1">
      <c r="B47" s="312" t="s">
        <v>84</v>
      </c>
      <c r="C47" s="312" t="s">
        <v>70</v>
      </c>
      <c r="D47" s="313">
        <f t="shared" si="19"/>
        <v>231923</v>
      </c>
      <c r="E47" s="313">
        <f t="shared" si="20"/>
        <v>516030</v>
      </c>
      <c r="F47" s="313">
        <f t="shared" si="21"/>
        <v>724265</v>
      </c>
      <c r="G47" s="313">
        <f t="shared" si="22"/>
        <v>526</v>
      </c>
      <c r="H47" s="313">
        <f t="shared" si="23"/>
        <v>552511</v>
      </c>
      <c r="I47" s="313">
        <f t="shared" si="24"/>
        <v>553694</v>
      </c>
      <c r="J47" s="313">
        <f t="shared" si="25"/>
        <v>2578949</v>
      </c>
      <c r="K47" s="316">
        <f>ROUND(J47/SUM($J$47:$J$48),2)</f>
        <v>0.55000000000000004</v>
      </c>
      <c r="L47" s="294">
        <f t="shared" si="29"/>
        <v>231923</v>
      </c>
      <c r="M47" s="294">
        <f t="shared" si="30"/>
        <v>515176</v>
      </c>
      <c r="N47" s="294">
        <f t="shared" si="31"/>
        <v>687785</v>
      </c>
      <c r="O47" s="294">
        <f t="shared" si="32"/>
        <v>0</v>
      </c>
      <c r="P47" s="294">
        <f t="shared" si="33"/>
        <v>552511</v>
      </c>
      <c r="Q47" s="294">
        <f t="shared" si="34"/>
        <v>432703</v>
      </c>
      <c r="R47" s="294">
        <f t="shared" si="35"/>
        <v>2420098</v>
      </c>
      <c r="S47" s="316">
        <f>R47/SUM(R$47:R$48)</f>
        <v>0.54255170566192557</v>
      </c>
      <c r="T47" s="294">
        <f t="shared" si="36"/>
        <v>0</v>
      </c>
      <c r="U47" s="294">
        <f t="shared" si="37"/>
        <v>854</v>
      </c>
      <c r="V47" s="294">
        <f t="shared" si="38"/>
        <v>36480</v>
      </c>
      <c r="W47" s="294">
        <f t="shared" si="39"/>
        <v>526</v>
      </c>
      <c r="X47" s="294">
        <f t="shared" si="40"/>
        <v>0</v>
      </c>
      <c r="Y47" s="294">
        <f t="shared" si="41"/>
        <v>120991</v>
      </c>
      <c r="Z47" s="294">
        <f t="shared" si="28"/>
        <v>158851</v>
      </c>
      <c r="AA47" s="316">
        <f>Z47/SUM(Z$47:Z$48)</f>
        <v>0.69755319989812314</v>
      </c>
    </row>
    <row r="48" spans="2:27" s="294" customFormat="1">
      <c r="B48" s="312" t="s">
        <v>84</v>
      </c>
      <c r="C48" s="312" t="s">
        <v>71</v>
      </c>
      <c r="D48" s="313">
        <f t="shared" si="19"/>
        <v>80430</v>
      </c>
      <c r="E48" s="313">
        <f t="shared" si="20"/>
        <v>539759</v>
      </c>
      <c r="F48" s="313">
        <f t="shared" si="21"/>
        <v>693549</v>
      </c>
      <c r="G48" s="313">
        <f t="shared" si="22"/>
        <v>0</v>
      </c>
      <c r="H48" s="313">
        <f t="shared" si="23"/>
        <v>254556</v>
      </c>
      <c r="I48" s="313">
        <f t="shared" si="24"/>
        <v>541068</v>
      </c>
      <c r="J48" s="313">
        <f t="shared" si="25"/>
        <v>2109362</v>
      </c>
      <c r="K48" s="316">
        <f>ROUND(J48/SUM($J$47:$J$48),2)</f>
        <v>0.45</v>
      </c>
      <c r="L48" s="294">
        <f t="shared" si="29"/>
        <v>80430</v>
      </c>
      <c r="M48" s="294">
        <f t="shared" si="30"/>
        <v>538843</v>
      </c>
      <c r="N48" s="294">
        <f t="shared" si="31"/>
        <v>693549</v>
      </c>
      <c r="O48" s="294">
        <f t="shared" si="32"/>
        <v>0</v>
      </c>
      <c r="P48" s="294">
        <f t="shared" si="33"/>
        <v>254556</v>
      </c>
      <c r="Q48" s="294">
        <f t="shared" si="34"/>
        <v>473109</v>
      </c>
      <c r="R48" s="294">
        <f t="shared" si="35"/>
        <v>2040487</v>
      </c>
      <c r="S48" s="316">
        <f>R48/SUM(R$47:R$48)</f>
        <v>0.45744829433807449</v>
      </c>
      <c r="T48" s="294">
        <f t="shared" si="36"/>
        <v>0</v>
      </c>
      <c r="U48" s="294">
        <f t="shared" si="37"/>
        <v>916</v>
      </c>
      <c r="V48" s="294">
        <f t="shared" si="38"/>
        <v>0</v>
      </c>
      <c r="W48" s="294">
        <f t="shared" si="39"/>
        <v>0</v>
      </c>
      <c r="X48" s="294">
        <f t="shared" si="40"/>
        <v>0</v>
      </c>
      <c r="Y48" s="294">
        <f t="shared" si="41"/>
        <v>67959</v>
      </c>
      <c r="Z48" s="294">
        <f t="shared" si="28"/>
        <v>68875</v>
      </c>
      <c r="AA48" s="316">
        <f>Z48/SUM(Z$47:Z$48)</f>
        <v>0.3024468001018768</v>
      </c>
    </row>
    <row r="49" spans="2:30" s="294" customFormat="1">
      <c r="B49" s="312" t="s">
        <v>49</v>
      </c>
      <c r="C49" s="312" t="s">
        <v>72</v>
      </c>
      <c r="D49" s="313">
        <f>L49+T49</f>
        <v>804491</v>
      </c>
      <c r="E49" s="313">
        <f t="shared" si="20"/>
        <v>0</v>
      </c>
      <c r="F49" s="313">
        <f t="shared" si="21"/>
        <v>0</v>
      </c>
      <c r="G49" s="313">
        <f t="shared" si="22"/>
        <v>0</v>
      </c>
      <c r="H49" s="313">
        <f t="shared" si="23"/>
        <v>0</v>
      </c>
      <c r="I49" s="313">
        <f t="shared" si="24"/>
        <v>0</v>
      </c>
      <c r="J49" s="313">
        <f t="shared" si="25"/>
        <v>804491</v>
      </c>
      <c r="K49" s="316">
        <f>ROUND(J49/SUM(J$49:J$50),2)</f>
        <v>0.62</v>
      </c>
      <c r="L49" s="294">
        <f t="shared" si="29"/>
        <v>804491</v>
      </c>
      <c r="M49" s="294">
        <f t="shared" si="30"/>
        <v>0</v>
      </c>
      <c r="N49" s="294">
        <f t="shared" si="31"/>
        <v>0</v>
      </c>
      <c r="O49" s="294">
        <f t="shared" si="32"/>
        <v>0</v>
      </c>
      <c r="P49" s="294">
        <f t="shared" si="33"/>
        <v>0</v>
      </c>
      <c r="Q49" s="294">
        <f t="shared" si="34"/>
        <v>0</v>
      </c>
      <c r="R49" s="294">
        <f t="shared" si="35"/>
        <v>804491</v>
      </c>
      <c r="S49" s="316">
        <f>R49/SUM(R$49:R$50)</f>
        <v>0.62544148733126692</v>
      </c>
      <c r="T49" s="294">
        <f t="shared" si="36"/>
        <v>0</v>
      </c>
      <c r="U49" s="294">
        <f t="shared" si="37"/>
        <v>0</v>
      </c>
      <c r="V49" s="294">
        <f t="shared" si="38"/>
        <v>0</v>
      </c>
      <c r="W49" s="294">
        <f t="shared" si="39"/>
        <v>0</v>
      </c>
      <c r="X49" s="294">
        <f t="shared" si="40"/>
        <v>0</v>
      </c>
      <c r="Y49" s="294">
        <f t="shared" si="41"/>
        <v>0</v>
      </c>
      <c r="Z49" s="294">
        <f t="shared" si="28"/>
        <v>0</v>
      </c>
      <c r="AA49" s="316">
        <f>Z49/SUM(Z$49:Z$50)</f>
        <v>0</v>
      </c>
    </row>
    <row r="50" spans="2:30" s="294" customFormat="1">
      <c r="B50" s="312" t="s">
        <v>49</v>
      </c>
      <c r="C50" s="312" t="s">
        <v>73</v>
      </c>
      <c r="D50" s="313">
        <f t="shared" si="19"/>
        <v>116468</v>
      </c>
      <c r="E50" s="313">
        <f t="shared" si="20"/>
        <v>248614</v>
      </c>
      <c r="F50" s="313">
        <f t="shared" si="21"/>
        <v>102038</v>
      </c>
      <c r="G50" s="313">
        <f t="shared" si="22"/>
        <v>16166</v>
      </c>
      <c r="H50" s="313">
        <f t="shared" si="23"/>
        <v>1897</v>
      </c>
      <c r="I50" s="313">
        <f t="shared" si="24"/>
        <v>14431</v>
      </c>
      <c r="J50" s="313">
        <f t="shared" si="25"/>
        <v>499614</v>
      </c>
      <c r="K50" s="316">
        <f>ROUND(J50/SUM(J$49:J$50),2)</f>
        <v>0.38</v>
      </c>
      <c r="L50" s="294">
        <f t="shared" si="29"/>
        <v>116468</v>
      </c>
      <c r="M50" s="294">
        <f t="shared" si="30"/>
        <v>246952</v>
      </c>
      <c r="N50" s="294">
        <f t="shared" si="31"/>
        <v>102038</v>
      </c>
      <c r="O50" s="294">
        <f t="shared" si="32"/>
        <v>0</v>
      </c>
      <c r="P50" s="294">
        <f t="shared" si="33"/>
        <v>1897</v>
      </c>
      <c r="Q50" s="294">
        <f t="shared" si="34"/>
        <v>14431</v>
      </c>
      <c r="R50" s="294">
        <f t="shared" si="35"/>
        <v>481786</v>
      </c>
      <c r="S50" s="316">
        <f>R50/SUM(R$49:R$50)</f>
        <v>0.37455851266873308</v>
      </c>
      <c r="T50" s="294">
        <f t="shared" si="36"/>
        <v>0</v>
      </c>
      <c r="U50" s="294">
        <f t="shared" si="37"/>
        <v>1662</v>
      </c>
      <c r="V50" s="294">
        <f t="shared" si="38"/>
        <v>0</v>
      </c>
      <c r="W50" s="294">
        <f t="shared" si="39"/>
        <v>16166</v>
      </c>
      <c r="X50" s="294">
        <f t="shared" si="40"/>
        <v>0</v>
      </c>
      <c r="Y50" s="294">
        <f t="shared" si="41"/>
        <v>0</v>
      </c>
      <c r="Z50" s="294">
        <f t="shared" si="28"/>
        <v>17828</v>
      </c>
      <c r="AA50" s="316">
        <f>Z50/SUM(Z$49:Z$50)</f>
        <v>1</v>
      </c>
    </row>
    <row r="51" spans="2:30" s="294" customFormat="1">
      <c r="B51" s="312" t="s">
        <v>86</v>
      </c>
      <c r="C51" s="312" t="s">
        <v>74</v>
      </c>
      <c r="D51" s="313">
        <f t="shared" si="19"/>
        <v>0</v>
      </c>
      <c r="E51" s="313">
        <f t="shared" si="20"/>
        <v>0</v>
      </c>
      <c r="F51" s="313">
        <f t="shared" si="21"/>
        <v>0</v>
      </c>
      <c r="G51" s="313">
        <f t="shared" si="22"/>
        <v>0</v>
      </c>
      <c r="H51" s="313">
        <f t="shared" si="23"/>
        <v>718269</v>
      </c>
      <c r="I51" s="313">
        <f t="shared" si="24"/>
        <v>0</v>
      </c>
      <c r="J51" s="313">
        <f t="shared" si="25"/>
        <v>718269</v>
      </c>
      <c r="K51" s="316">
        <f>ROUND(J51/SUM(J$51:J$52),2)</f>
        <v>0.75</v>
      </c>
      <c r="L51" s="294">
        <f t="shared" si="29"/>
        <v>0</v>
      </c>
      <c r="M51" s="294">
        <f t="shared" si="30"/>
        <v>0</v>
      </c>
      <c r="N51" s="294">
        <f t="shared" si="31"/>
        <v>0</v>
      </c>
      <c r="O51" s="294">
        <f t="shared" si="32"/>
        <v>0</v>
      </c>
      <c r="P51" s="294">
        <f t="shared" si="33"/>
        <v>526818</v>
      </c>
      <c r="Q51" s="294">
        <f t="shared" si="34"/>
        <v>0</v>
      </c>
      <c r="R51" s="294">
        <f t="shared" si="35"/>
        <v>526818</v>
      </c>
      <c r="S51" s="316">
        <f>R51/SUM(R$51:R$52)</f>
        <v>0.70531579475850992</v>
      </c>
      <c r="T51" s="294">
        <f t="shared" si="36"/>
        <v>0</v>
      </c>
      <c r="U51" s="294">
        <f t="shared" si="37"/>
        <v>0</v>
      </c>
      <c r="V51" s="294">
        <f t="shared" si="38"/>
        <v>0</v>
      </c>
      <c r="W51" s="294">
        <f t="shared" si="39"/>
        <v>0</v>
      </c>
      <c r="X51" s="294">
        <f t="shared" si="40"/>
        <v>191451</v>
      </c>
      <c r="Y51" s="294">
        <f t="shared" si="41"/>
        <v>0</v>
      </c>
      <c r="Z51" s="294">
        <f t="shared" si="28"/>
        <v>191451</v>
      </c>
      <c r="AA51" s="316">
        <f>Z51/SUM(Z$51:Z$52)</f>
        <v>0.93451361126975063</v>
      </c>
    </row>
    <row r="52" spans="2:30" s="294" customFormat="1">
      <c r="B52" s="312" t="s">
        <v>86</v>
      </c>
      <c r="C52" s="312" t="s">
        <v>75</v>
      </c>
      <c r="D52" s="313">
        <f t="shared" si="19"/>
        <v>36501</v>
      </c>
      <c r="E52" s="313">
        <f t="shared" si="20"/>
        <v>118126</v>
      </c>
      <c r="F52" s="313">
        <f t="shared" si="21"/>
        <v>68546</v>
      </c>
      <c r="G52" s="313">
        <f t="shared" si="22"/>
        <v>5564</v>
      </c>
      <c r="H52" s="313">
        <f t="shared" si="23"/>
        <v>1510</v>
      </c>
      <c r="I52" s="313">
        <f t="shared" si="24"/>
        <v>3276</v>
      </c>
      <c r="J52" s="313">
        <f t="shared" si="25"/>
        <v>233523</v>
      </c>
      <c r="K52" s="316">
        <f>ROUND(J52/SUM(J$51:J$52),2)</f>
        <v>0.25</v>
      </c>
      <c r="L52" s="294" cm="1">
        <f t="array" ref="L52">SUM(VLOOKUP("Land Rover",$B$57:$U$185,{2},FALSE))+SUM(VLOOKUP("Jaguar",$B$57:$U$185,{2},FALSE))</f>
        <v>36501</v>
      </c>
      <c r="M52" s="294" cm="1">
        <f t="array" ref="M52">SUM(VLOOKUP("Land Rover",$B$57:$U$185,{3},FALSE))+SUM(VLOOKUP("Jaguar",$B$57:$U$185,{3},FALSE))</f>
        <v>110274</v>
      </c>
      <c r="N52" s="294" cm="1">
        <f t="array" ref="N52">SUM(VLOOKUP("Land Rover",$B$57:$U$185,{4},FALSE))+SUM(VLOOKUP("Jaguar",$B$57:$U$185,{4},FALSE))</f>
        <v>68546</v>
      </c>
      <c r="O52" s="294" cm="1">
        <f t="array" ref="O52">SUM(VLOOKUP("Land Rover",$B$57:$U$185,{5},FALSE))+SUM(VLOOKUP("Jaguar",$B$57:$U$185,{5},FALSE))</f>
        <v>0</v>
      </c>
      <c r="P52" s="294" cm="1">
        <f t="array" ref="P52">SUM(VLOOKUP("Land Rover",$B$57:$U$185,{6},FALSE))+SUM(VLOOKUP("Jaguar",$B$57:$U$185,{6},FALSE))</f>
        <v>1510</v>
      </c>
      <c r="Q52" s="294" cm="1">
        <f t="array" ref="Q52">SUM(VLOOKUP("Land Rover",$B$57:$U$185,{7},FALSE))+SUM(VLOOKUP("Jaguar",$B$57:$U$185,{7},FALSE))</f>
        <v>3276</v>
      </c>
      <c r="R52" s="294" cm="1">
        <f t="array" ref="R52">SUM(VLOOKUP("Land Rover",$B$57:$U$185,{8},FALSE))+SUM(VLOOKUP("Jaguar",$B$57:$U$185,{8},FALSE))</f>
        <v>220107</v>
      </c>
      <c r="S52" s="316">
        <f>R52/SUM(R$51:R$52)</f>
        <v>0.29468420524149008</v>
      </c>
      <c r="T52" s="294" cm="1">
        <f t="array" ref="T52">SUM(VLOOKUP("Land Rover",$B$57:$U$185,{9},FALSE))+SUM(VLOOKUP("Jaguar",$B$57:$U$185,{9},FALSE))</f>
        <v>0</v>
      </c>
      <c r="U52" s="294" cm="1">
        <f t="array" ref="U52">SUM(VLOOKUP("Land Rover",$B$57:$U$185,{10},FALSE))+SUM(VLOOKUP("Jaguar",$B$57:$U$185,{10},FALSE))</f>
        <v>7852</v>
      </c>
      <c r="V52" s="294" cm="1">
        <f t="array" ref="V52">SUM(VLOOKUP("Land Rover",$B$57:$U$185,{11},FALSE))+SUM(VLOOKUP("Jaguar",$B$57:$U$185,{11},FALSE))</f>
        <v>0</v>
      </c>
      <c r="W52" s="294" cm="1">
        <f t="array" ref="W52">SUM(VLOOKUP("Land Rover",$B$57:$U$185,{12},FALSE))+SUM(VLOOKUP("Jaguar",$B$57:$U$185,{12},FALSE))</f>
        <v>5564</v>
      </c>
      <c r="X52" s="294" cm="1">
        <f t="array" ref="X52">SUM(VLOOKUP("Land Rover",$B$57:$U$185,{13},FALSE))+SUM(VLOOKUP("Jaguar",$B$57:$U$185,{13},FALSE))</f>
        <v>0</v>
      </c>
      <c r="Y52" s="294" cm="1">
        <f t="array" ref="Y52">SUM(VLOOKUP("Land Rover",$B$57:$U$185,{14},FALSE))+SUM(VLOOKUP("Jaguar",$B$57:$U$185,{14},FALSE))</f>
        <v>0</v>
      </c>
      <c r="Z52" s="294">
        <f t="shared" si="28"/>
        <v>13416</v>
      </c>
      <c r="AA52" s="316">
        <f>Z52/SUM(Z$51:Z$52)</f>
        <v>6.5486388730249381E-2</v>
      </c>
    </row>
    <row r="53" spans="2:30" s="294" customFormat="1">
      <c r="B53" s="312" t="s">
        <v>88</v>
      </c>
      <c r="C53" s="312" t="s">
        <v>88</v>
      </c>
      <c r="D53" s="313">
        <f t="shared" si="19"/>
        <v>72508</v>
      </c>
      <c r="E53" s="313">
        <f t="shared" si="20"/>
        <v>139713</v>
      </c>
      <c r="F53" s="313">
        <f t="shared" si="21"/>
        <v>294909</v>
      </c>
      <c r="G53" s="313">
        <f t="shared" si="22"/>
        <v>161308</v>
      </c>
      <c r="H53" s="313">
        <f t="shared" si="23"/>
        <v>0</v>
      </c>
      <c r="I53" s="313">
        <f t="shared" si="24"/>
        <v>0</v>
      </c>
      <c r="J53" s="313">
        <f t="shared" si="25"/>
        <v>668438</v>
      </c>
      <c r="K53" s="295"/>
      <c r="L53" s="294">
        <f>VLOOKUP(C53,$B$58:$V$184,2,0)</f>
        <v>72508</v>
      </c>
      <c r="M53" s="294">
        <f>VLOOKUP(C53,$B$58:$V$184,3,0)</f>
        <v>139616</v>
      </c>
      <c r="N53" s="294">
        <f>VLOOKUP(C53,$B$58:$V$184,4,0)</f>
        <v>294909</v>
      </c>
      <c r="O53" s="294">
        <f>VLOOKUP(C53,$B$58:$V$184,5,0)</f>
        <v>156905</v>
      </c>
      <c r="P53" s="294">
        <f>VLOOKUP(C53,$B$58:$V$184,6,0)</f>
        <v>0</v>
      </c>
      <c r="Q53" s="294">
        <f>VLOOKUP(C53,$B$58:$V$184,7,0)</f>
        <v>0</v>
      </c>
      <c r="R53" s="294">
        <f>VLOOKUP(C53,$B$58:$V$184,8,0)</f>
        <v>663938</v>
      </c>
      <c r="T53" s="294">
        <f>VLOOKUP(C53,$B$58:$AE$184,9,0)</f>
        <v>0</v>
      </c>
      <c r="U53" s="294">
        <f>VLOOKUP(C53,$B$58:$AE$184,10,0)</f>
        <v>97</v>
      </c>
      <c r="V53" s="294">
        <f>VLOOKUP(C53,$B$58:$V$184,11,0)</f>
        <v>0</v>
      </c>
      <c r="W53" s="294">
        <f>VLOOKUP(C53,$B$58:$V$184,12,0)</f>
        <v>4403</v>
      </c>
      <c r="X53" s="294">
        <f>VLOOKUP(C53,$B$58:$V$184,13,0)</f>
        <v>0</v>
      </c>
      <c r="Y53" s="294">
        <f>VLOOKUP(C53,$B$58:$V$184,14,0)</f>
        <v>0</v>
      </c>
      <c r="Z53" s="294">
        <f t="shared" si="28"/>
        <v>4500</v>
      </c>
    </row>
    <row r="54" spans="2:30" s="294" customFormat="1">
      <c r="E54" s="317"/>
      <c r="F54" s="318"/>
      <c r="G54" s="317"/>
      <c r="H54" s="317"/>
      <c r="I54" s="318"/>
      <c r="J54" s="317"/>
      <c r="K54" s="317"/>
    </row>
    <row r="55" spans="2:30" s="294" customFormat="1">
      <c r="B55" s="319" t="s">
        <v>365</v>
      </c>
    </row>
    <row r="56" spans="2:30" s="294" customFormat="1">
      <c r="B56" s="308"/>
      <c r="C56" s="320" t="s">
        <v>90</v>
      </c>
      <c r="D56" s="320"/>
      <c r="E56" s="320"/>
      <c r="F56" s="320"/>
      <c r="G56" s="320"/>
      <c r="H56" s="320"/>
      <c r="I56" s="320"/>
      <c r="J56" s="320" t="s">
        <v>91</v>
      </c>
      <c r="K56" s="320"/>
      <c r="L56" s="320"/>
      <c r="M56" s="320"/>
      <c r="N56" s="320"/>
      <c r="O56" s="320"/>
      <c r="P56" s="320"/>
      <c r="Q56" s="320" t="s">
        <v>89</v>
      </c>
      <c r="R56" s="320"/>
      <c r="S56" s="320"/>
      <c r="T56" s="320"/>
      <c r="U56" s="320"/>
      <c r="V56" s="320"/>
      <c r="W56" s="320"/>
    </row>
    <row r="57" spans="2:30" s="294" customFormat="1">
      <c r="B57" s="189" t="s">
        <v>93</v>
      </c>
      <c r="C57" s="189" t="s">
        <v>77</v>
      </c>
      <c r="D57" s="189" t="s">
        <v>78</v>
      </c>
      <c r="E57" s="189" t="s">
        <v>79</v>
      </c>
      <c r="F57" s="189" t="s">
        <v>80</v>
      </c>
      <c r="G57" s="189" t="s">
        <v>81</v>
      </c>
      <c r="H57" s="189" t="s">
        <v>82</v>
      </c>
      <c r="I57" s="311" t="s">
        <v>100</v>
      </c>
      <c r="J57" s="189" t="s">
        <v>77</v>
      </c>
      <c r="K57" s="189" t="s">
        <v>78</v>
      </c>
      <c r="L57" s="189" t="s">
        <v>79</v>
      </c>
      <c r="M57" s="189" t="s">
        <v>80</v>
      </c>
      <c r="N57" s="189" t="s">
        <v>81</v>
      </c>
      <c r="O57" s="189" t="s">
        <v>82</v>
      </c>
      <c r="P57" s="311" t="s">
        <v>100</v>
      </c>
      <c r="Q57" s="189" t="s">
        <v>77</v>
      </c>
      <c r="R57" s="189" t="s">
        <v>78</v>
      </c>
      <c r="S57" s="189" t="s">
        <v>79</v>
      </c>
      <c r="T57" s="189" t="s">
        <v>80</v>
      </c>
      <c r="U57" s="189" t="s">
        <v>81</v>
      </c>
      <c r="V57" s="189" t="s">
        <v>82</v>
      </c>
      <c r="W57" s="321" t="s">
        <v>83</v>
      </c>
      <c r="X57" s="311" t="s">
        <v>100</v>
      </c>
      <c r="AD57" s="322"/>
    </row>
    <row r="58" spans="2:30" s="308" customFormat="1">
      <c r="B58" s="308" t="s">
        <v>43</v>
      </c>
      <c r="C58" s="308">
        <v>651089</v>
      </c>
      <c r="D58" s="308">
        <v>816928</v>
      </c>
      <c r="E58" s="308">
        <v>361892</v>
      </c>
      <c r="G58" s="308">
        <v>12009</v>
      </c>
      <c r="H58" s="308">
        <v>89905</v>
      </c>
      <c r="I58" s="308">
        <f>SUM(C58:H58)</f>
        <v>1931823</v>
      </c>
      <c r="K58" s="308">
        <v>1173</v>
      </c>
      <c r="L58" s="308">
        <v>1468</v>
      </c>
      <c r="M58" s="308">
        <v>50639</v>
      </c>
      <c r="O58" s="308">
        <v>87</v>
      </c>
      <c r="P58" s="308">
        <f>SUM(J58:O58)</f>
        <v>53367</v>
      </c>
      <c r="Q58" s="308">
        <f>C58+J58</f>
        <v>651089</v>
      </c>
      <c r="R58" s="308">
        <f t="shared" ref="R58:U58" si="42">D58+K58</f>
        <v>818101</v>
      </c>
      <c r="S58" s="308">
        <f t="shared" si="42"/>
        <v>363360</v>
      </c>
      <c r="T58" s="308">
        <f t="shared" si="42"/>
        <v>50639</v>
      </c>
      <c r="U58" s="308">
        <f t="shared" si="42"/>
        <v>12009</v>
      </c>
      <c r="V58" s="308">
        <f>H58+O58</f>
        <v>89992</v>
      </c>
      <c r="W58" s="323">
        <f>SUM(Q58:V58)</f>
        <v>1985190</v>
      </c>
      <c r="X58" s="324" t="s">
        <v>232</v>
      </c>
      <c r="Y58" s="324"/>
    </row>
    <row r="59" spans="2:30" s="294" customFormat="1">
      <c r="B59" s="294" t="s">
        <v>102</v>
      </c>
      <c r="C59" s="294">
        <v>651089</v>
      </c>
      <c r="D59" s="294">
        <v>645564</v>
      </c>
      <c r="E59" s="294">
        <v>332388</v>
      </c>
      <c r="G59" s="294">
        <v>11268</v>
      </c>
      <c r="H59" s="294">
        <v>78545</v>
      </c>
      <c r="I59" s="294">
        <f t="shared" ref="I59:I122" si="43">SUM(C59:H59)</f>
        <v>1718854</v>
      </c>
      <c r="K59" s="294">
        <v>1008</v>
      </c>
      <c r="M59" s="294">
        <v>31191</v>
      </c>
      <c r="P59" s="294">
        <f t="shared" ref="P59:P122" si="44">SUM(J59:O59)</f>
        <v>32199</v>
      </c>
      <c r="Q59" s="294">
        <f t="shared" ref="Q59:Q122" si="45">C59+J59</f>
        <v>651089</v>
      </c>
      <c r="R59" s="294">
        <f t="shared" ref="R59:R122" si="46">D59+K59</f>
        <v>646572</v>
      </c>
      <c r="S59" s="294">
        <f t="shared" ref="S59:S122" si="47">E59+L59</f>
        <v>332388</v>
      </c>
      <c r="T59" s="294">
        <f t="shared" ref="T59:T122" si="48">F59+M59</f>
        <v>31191</v>
      </c>
      <c r="U59" s="294">
        <f t="shared" ref="U59:U122" si="49">G59+N59</f>
        <v>11268</v>
      </c>
      <c r="V59" s="294">
        <f t="shared" ref="V59:V122" si="50">H59+O59</f>
        <v>78545</v>
      </c>
      <c r="W59" s="323">
        <f t="shared" ref="W59:W122" si="51">SUM(Q59:V59)</f>
        <v>1751053</v>
      </c>
      <c r="X59" s="295" t="s">
        <v>232</v>
      </c>
      <c r="AD59" s="308"/>
    </row>
    <row r="60" spans="2:30" s="294" customFormat="1">
      <c r="B60" s="294" t="s">
        <v>103</v>
      </c>
      <c r="D60" s="294">
        <v>171346</v>
      </c>
      <c r="E60" s="294">
        <v>29504</v>
      </c>
      <c r="G60" s="294">
        <v>713</v>
      </c>
      <c r="H60" s="294">
        <v>11213</v>
      </c>
      <c r="I60" s="294">
        <f t="shared" si="43"/>
        <v>212776</v>
      </c>
      <c r="K60" s="294">
        <v>139</v>
      </c>
      <c r="M60" s="294">
        <v>19208</v>
      </c>
      <c r="P60" s="294">
        <f t="shared" si="44"/>
        <v>19347</v>
      </c>
      <c r="Q60" s="294">
        <f t="shared" si="45"/>
        <v>0</v>
      </c>
      <c r="R60" s="294">
        <f t="shared" si="46"/>
        <v>171485</v>
      </c>
      <c r="S60" s="294">
        <f t="shared" si="47"/>
        <v>29504</v>
      </c>
      <c r="T60" s="294">
        <f t="shared" si="48"/>
        <v>19208</v>
      </c>
      <c r="U60" s="294">
        <f t="shared" si="49"/>
        <v>713</v>
      </c>
      <c r="V60" s="294">
        <f t="shared" si="50"/>
        <v>11213</v>
      </c>
      <c r="W60" s="323">
        <f t="shared" si="51"/>
        <v>232123</v>
      </c>
      <c r="X60" s="295" t="s">
        <v>232</v>
      </c>
    </row>
    <row r="61" spans="2:30" s="294" customFormat="1">
      <c r="B61" s="294" t="s">
        <v>104</v>
      </c>
      <c r="D61" s="294">
        <v>18</v>
      </c>
      <c r="G61" s="294">
        <v>28</v>
      </c>
      <c r="H61" s="294">
        <v>147</v>
      </c>
      <c r="I61" s="294">
        <f t="shared" si="43"/>
        <v>193</v>
      </c>
      <c r="K61" s="294">
        <v>26</v>
      </c>
      <c r="L61" s="294">
        <v>1468</v>
      </c>
      <c r="M61" s="294">
        <v>240</v>
      </c>
      <c r="O61" s="294">
        <v>87</v>
      </c>
      <c r="P61" s="294">
        <f t="shared" si="44"/>
        <v>1821</v>
      </c>
      <c r="Q61" s="294">
        <f t="shared" si="45"/>
        <v>0</v>
      </c>
      <c r="R61" s="294">
        <f t="shared" si="46"/>
        <v>44</v>
      </c>
      <c r="S61" s="294">
        <f t="shared" si="47"/>
        <v>1468</v>
      </c>
      <c r="T61" s="294">
        <f t="shared" si="48"/>
        <v>240</v>
      </c>
      <c r="U61" s="294">
        <f t="shared" si="49"/>
        <v>28</v>
      </c>
      <c r="V61" s="294">
        <f t="shared" si="50"/>
        <v>234</v>
      </c>
      <c r="W61" s="323">
        <f t="shared" si="51"/>
        <v>2014</v>
      </c>
      <c r="X61" s="295" t="s">
        <v>232</v>
      </c>
    </row>
    <row r="62" spans="2:30" s="308" customFormat="1">
      <c r="B62" s="308" t="s">
        <v>16</v>
      </c>
      <c r="C62" s="308">
        <v>1347377</v>
      </c>
      <c r="G62" s="308">
        <v>700</v>
      </c>
      <c r="I62" s="308">
        <f t="shared" si="43"/>
        <v>1348077</v>
      </c>
      <c r="J62" s="308">
        <v>30</v>
      </c>
      <c r="M62" s="308">
        <v>31</v>
      </c>
      <c r="P62" s="308">
        <f t="shared" si="44"/>
        <v>61</v>
      </c>
      <c r="Q62" s="308">
        <f t="shared" si="45"/>
        <v>1347407</v>
      </c>
      <c r="R62" s="308">
        <f t="shared" si="46"/>
        <v>0</v>
      </c>
      <c r="S62" s="308">
        <f t="shared" si="47"/>
        <v>0</v>
      </c>
      <c r="T62" s="308">
        <f t="shared" si="48"/>
        <v>31</v>
      </c>
      <c r="U62" s="308">
        <f t="shared" si="49"/>
        <v>700</v>
      </c>
      <c r="V62" s="308">
        <f t="shared" si="50"/>
        <v>0</v>
      </c>
      <c r="W62" s="323">
        <f t="shared" si="51"/>
        <v>1348138</v>
      </c>
      <c r="X62" s="324" t="s">
        <v>236</v>
      </c>
    </row>
    <row r="63" spans="2:30" s="294" customFormat="1">
      <c r="B63" s="294" t="s">
        <v>105</v>
      </c>
      <c r="C63" s="294">
        <v>1340571</v>
      </c>
      <c r="G63" s="294">
        <v>700</v>
      </c>
      <c r="I63" s="294">
        <f t="shared" si="43"/>
        <v>1341271</v>
      </c>
      <c r="J63" s="294">
        <v>30</v>
      </c>
      <c r="M63" s="294">
        <v>31</v>
      </c>
      <c r="P63" s="294">
        <f t="shared" si="44"/>
        <v>61</v>
      </c>
      <c r="Q63" s="294">
        <f t="shared" si="45"/>
        <v>1340601</v>
      </c>
      <c r="R63" s="294">
        <f t="shared" si="46"/>
        <v>0</v>
      </c>
      <c r="S63" s="294">
        <f t="shared" si="47"/>
        <v>0</v>
      </c>
      <c r="T63" s="294">
        <f t="shared" si="48"/>
        <v>31</v>
      </c>
      <c r="U63" s="294">
        <f t="shared" si="49"/>
        <v>700</v>
      </c>
      <c r="V63" s="294">
        <f t="shared" si="50"/>
        <v>0</v>
      </c>
      <c r="W63" s="323">
        <f t="shared" si="51"/>
        <v>1341332</v>
      </c>
      <c r="X63" s="295" t="s">
        <v>236</v>
      </c>
      <c r="AD63" s="308"/>
    </row>
    <row r="64" spans="2:30" s="294" customFormat="1">
      <c r="B64" s="294" t="s">
        <v>106</v>
      </c>
      <c r="C64" s="294">
        <v>1</v>
      </c>
      <c r="I64" s="294">
        <f t="shared" si="43"/>
        <v>1</v>
      </c>
      <c r="P64" s="294">
        <f t="shared" si="44"/>
        <v>0</v>
      </c>
      <c r="Q64" s="294">
        <f t="shared" si="45"/>
        <v>1</v>
      </c>
      <c r="R64" s="294">
        <f t="shared" si="46"/>
        <v>0</v>
      </c>
      <c r="S64" s="294">
        <f t="shared" si="47"/>
        <v>0</v>
      </c>
      <c r="T64" s="294">
        <f t="shared" si="48"/>
        <v>0</v>
      </c>
      <c r="U64" s="294">
        <f t="shared" si="49"/>
        <v>0</v>
      </c>
      <c r="V64" s="294">
        <f t="shared" si="50"/>
        <v>0</v>
      </c>
      <c r="W64" s="323">
        <f t="shared" si="51"/>
        <v>1</v>
      </c>
      <c r="X64" s="295" t="s">
        <v>236</v>
      </c>
    </row>
    <row r="65" spans="2:30" s="294" customFormat="1">
      <c r="B65" s="294" t="s">
        <v>107</v>
      </c>
      <c r="C65" s="294">
        <v>6805</v>
      </c>
      <c r="I65" s="294">
        <f t="shared" si="43"/>
        <v>6805</v>
      </c>
      <c r="P65" s="294">
        <f t="shared" si="44"/>
        <v>0</v>
      </c>
      <c r="Q65" s="294">
        <f t="shared" si="45"/>
        <v>6805</v>
      </c>
      <c r="R65" s="294">
        <f t="shared" si="46"/>
        <v>0</v>
      </c>
      <c r="S65" s="294">
        <f t="shared" si="47"/>
        <v>0</v>
      </c>
      <c r="T65" s="294">
        <f t="shared" si="48"/>
        <v>0</v>
      </c>
      <c r="U65" s="294">
        <f t="shared" si="49"/>
        <v>0</v>
      </c>
      <c r="V65" s="294">
        <f t="shared" si="50"/>
        <v>0</v>
      </c>
      <c r="W65" s="323">
        <f t="shared" si="51"/>
        <v>6805</v>
      </c>
      <c r="X65" s="295" t="s">
        <v>236</v>
      </c>
    </row>
    <row r="66" spans="2:30" s="308" customFormat="1">
      <c r="B66" s="308" t="s">
        <v>53</v>
      </c>
      <c r="C66" s="308">
        <v>1065381</v>
      </c>
      <c r="I66" s="308">
        <f t="shared" si="43"/>
        <v>1065381</v>
      </c>
      <c r="J66" s="308">
        <v>277535</v>
      </c>
      <c r="P66" s="308">
        <f t="shared" si="44"/>
        <v>277535</v>
      </c>
      <c r="Q66" s="308">
        <f t="shared" si="45"/>
        <v>1342916</v>
      </c>
      <c r="R66" s="308">
        <f t="shared" si="46"/>
        <v>0</v>
      </c>
      <c r="S66" s="308">
        <f t="shared" si="47"/>
        <v>0</v>
      </c>
      <c r="T66" s="308">
        <f t="shared" si="48"/>
        <v>0</v>
      </c>
      <c r="U66" s="308">
        <f t="shared" si="49"/>
        <v>0</v>
      </c>
      <c r="V66" s="308">
        <f t="shared" si="50"/>
        <v>0</v>
      </c>
      <c r="W66" s="323">
        <f t="shared" si="51"/>
        <v>1342916</v>
      </c>
      <c r="X66" s="324" t="s">
        <v>222</v>
      </c>
    </row>
    <row r="67" spans="2:30" s="294" customFormat="1">
      <c r="B67" s="294" t="s">
        <v>108</v>
      </c>
      <c r="C67" s="294">
        <v>415</v>
      </c>
      <c r="I67" s="294">
        <f t="shared" si="43"/>
        <v>415</v>
      </c>
      <c r="P67" s="294">
        <f t="shared" si="44"/>
        <v>0</v>
      </c>
      <c r="Q67" s="294">
        <f t="shared" si="45"/>
        <v>415</v>
      </c>
      <c r="R67" s="294">
        <f t="shared" si="46"/>
        <v>0</v>
      </c>
      <c r="S67" s="294">
        <f t="shared" si="47"/>
        <v>0</v>
      </c>
      <c r="T67" s="294">
        <f t="shared" si="48"/>
        <v>0</v>
      </c>
      <c r="U67" s="294">
        <f t="shared" si="49"/>
        <v>0</v>
      </c>
      <c r="V67" s="294">
        <f t="shared" si="50"/>
        <v>0</v>
      </c>
      <c r="W67" s="323">
        <f t="shared" si="51"/>
        <v>415</v>
      </c>
      <c r="X67" s="295" t="s">
        <v>222</v>
      </c>
      <c r="AD67" s="308"/>
    </row>
    <row r="68" spans="2:30" s="294" customFormat="1">
      <c r="B68" s="294" t="s">
        <v>109</v>
      </c>
      <c r="C68" s="294">
        <v>1064966</v>
      </c>
      <c r="I68" s="294">
        <f t="shared" si="43"/>
        <v>1064966</v>
      </c>
      <c r="J68" s="294">
        <v>277535</v>
      </c>
      <c r="P68" s="294">
        <f t="shared" si="44"/>
        <v>277535</v>
      </c>
      <c r="Q68" s="294">
        <f t="shared" si="45"/>
        <v>1342501</v>
      </c>
      <c r="R68" s="294">
        <f t="shared" si="46"/>
        <v>0</v>
      </c>
      <c r="S68" s="294">
        <f t="shared" si="47"/>
        <v>0</v>
      </c>
      <c r="T68" s="294">
        <f t="shared" si="48"/>
        <v>0</v>
      </c>
      <c r="U68" s="294">
        <f t="shared" si="49"/>
        <v>0</v>
      </c>
      <c r="V68" s="294">
        <f t="shared" si="50"/>
        <v>0</v>
      </c>
      <c r="W68" s="323">
        <f t="shared" si="51"/>
        <v>1342501</v>
      </c>
      <c r="X68" s="295" t="s">
        <v>222</v>
      </c>
    </row>
    <row r="69" spans="2:30" s="294" customFormat="1">
      <c r="B69" s="294" t="s">
        <v>110</v>
      </c>
      <c r="I69" s="294">
        <f t="shared" si="43"/>
        <v>0</v>
      </c>
      <c r="P69" s="294">
        <f t="shared" si="44"/>
        <v>0</v>
      </c>
      <c r="Q69" s="294">
        <f t="shared" si="45"/>
        <v>0</v>
      </c>
      <c r="R69" s="294">
        <f t="shared" si="46"/>
        <v>0</v>
      </c>
      <c r="S69" s="294">
        <f t="shared" si="47"/>
        <v>0</v>
      </c>
      <c r="T69" s="294">
        <f t="shared" si="48"/>
        <v>0</v>
      </c>
      <c r="U69" s="294">
        <f t="shared" si="49"/>
        <v>0</v>
      </c>
      <c r="V69" s="294">
        <f t="shared" si="50"/>
        <v>0</v>
      </c>
      <c r="W69" s="323">
        <f t="shared" si="51"/>
        <v>0</v>
      </c>
      <c r="X69" s="295" t="s">
        <v>222</v>
      </c>
    </row>
    <row r="70" spans="2:30" s="294" customFormat="1">
      <c r="B70" s="294" t="s">
        <v>111</v>
      </c>
      <c r="I70" s="294">
        <f t="shared" si="43"/>
        <v>0</v>
      </c>
      <c r="P70" s="294">
        <f t="shared" si="44"/>
        <v>0</v>
      </c>
      <c r="Q70" s="294">
        <f t="shared" si="45"/>
        <v>0</v>
      </c>
      <c r="R70" s="294">
        <f t="shared" si="46"/>
        <v>0</v>
      </c>
      <c r="S70" s="294">
        <f t="shared" si="47"/>
        <v>0</v>
      </c>
      <c r="T70" s="294">
        <f t="shared" si="48"/>
        <v>0</v>
      </c>
      <c r="U70" s="294">
        <f t="shared" si="49"/>
        <v>0</v>
      </c>
      <c r="V70" s="294">
        <f t="shared" si="50"/>
        <v>0</v>
      </c>
      <c r="W70" s="323">
        <f t="shared" si="51"/>
        <v>0</v>
      </c>
      <c r="X70" s="295" t="s">
        <v>222</v>
      </c>
    </row>
    <row r="71" spans="2:30" s="308" customFormat="1">
      <c r="B71" s="308" t="s">
        <v>54</v>
      </c>
      <c r="C71" s="308">
        <v>261957</v>
      </c>
      <c r="D71" s="308">
        <v>549800</v>
      </c>
      <c r="E71" s="308">
        <v>908921</v>
      </c>
      <c r="G71" s="308">
        <v>0</v>
      </c>
      <c r="H71" s="308">
        <v>7230</v>
      </c>
      <c r="I71" s="308">
        <f t="shared" si="43"/>
        <v>1727908</v>
      </c>
      <c r="K71" s="308">
        <v>284306</v>
      </c>
      <c r="L71" s="308">
        <v>1012480</v>
      </c>
      <c r="M71" s="308">
        <v>421</v>
      </c>
      <c r="O71" s="308">
        <v>618</v>
      </c>
      <c r="P71" s="308">
        <f t="shared" si="44"/>
        <v>1297825</v>
      </c>
      <c r="Q71" s="308">
        <f t="shared" si="45"/>
        <v>261957</v>
      </c>
      <c r="R71" s="308">
        <f t="shared" si="46"/>
        <v>834106</v>
      </c>
      <c r="S71" s="308">
        <f t="shared" si="47"/>
        <v>1921401</v>
      </c>
      <c r="T71" s="308">
        <f t="shared" si="48"/>
        <v>421</v>
      </c>
      <c r="U71" s="308">
        <f t="shared" si="49"/>
        <v>0</v>
      </c>
      <c r="V71" s="308">
        <f t="shared" si="50"/>
        <v>7848</v>
      </c>
      <c r="W71" s="323">
        <f t="shared" si="51"/>
        <v>3025733</v>
      </c>
      <c r="X71" s="308" t="s">
        <v>85</v>
      </c>
    </row>
    <row r="72" spans="2:30" s="294" customFormat="1">
      <c r="B72" s="294" t="s">
        <v>112</v>
      </c>
      <c r="C72" s="294">
        <v>203388</v>
      </c>
      <c r="D72" s="294">
        <v>549800</v>
      </c>
      <c r="E72" s="294">
        <v>825435</v>
      </c>
      <c r="G72" s="294">
        <v>0</v>
      </c>
      <c r="H72" s="294">
        <v>4682</v>
      </c>
      <c r="I72" s="294">
        <f t="shared" si="43"/>
        <v>1583305</v>
      </c>
      <c r="K72" s="294">
        <v>284306</v>
      </c>
      <c r="L72" s="294">
        <v>1012480</v>
      </c>
      <c r="M72" s="294">
        <v>421</v>
      </c>
      <c r="O72" s="294">
        <v>618</v>
      </c>
      <c r="P72" s="294">
        <f t="shared" si="44"/>
        <v>1297825</v>
      </c>
      <c r="Q72" s="294">
        <f t="shared" si="45"/>
        <v>203388</v>
      </c>
      <c r="R72" s="294">
        <f t="shared" si="46"/>
        <v>834106</v>
      </c>
      <c r="S72" s="294">
        <f t="shared" si="47"/>
        <v>1837915</v>
      </c>
      <c r="T72" s="294">
        <f t="shared" si="48"/>
        <v>421</v>
      </c>
      <c r="U72" s="294">
        <f t="shared" si="49"/>
        <v>0</v>
      </c>
      <c r="V72" s="294">
        <f t="shared" si="50"/>
        <v>5300</v>
      </c>
      <c r="W72" s="323">
        <f t="shared" si="51"/>
        <v>2881130</v>
      </c>
      <c r="X72" s="295" t="s">
        <v>85</v>
      </c>
      <c r="AD72" s="308"/>
    </row>
    <row r="73" spans="2:30" s="294" customFormat="1">
      <c r="B73" s="294" t="s">
        <v>113</v>
      </c>
      <c r="C73" s="294">
        <v>58569</v>
      </c>
      <c r="E73" s="294">
        <v>83486</v>
      </c>
      <c r="H73" s="294">
        <v>2548</v>
      </c>
      <c r="I73" s="294">
        <f t="shared" si="43"/>
        <v>144603</v>
      </c>
      <c r="P73" s="294">
        <f t="shared" si="44"/>
        <v>0</v>
      </c>
      <c r="Q73" s="294">
        <f t="shared" si="45"/>
        <v>58569</v>
      </c>
      <c r="R73" s="294">
        <f t="shared" si="46"/>
        <v>0</v>
      </c>
      <c r="S73" s="294">
        <f t="shared" si="47"/>
        <v>83486</v>
      </c>
      <c r="T73" s="294">
        <f t="shared" si="48"/>
        <v>0</v>
      </c>
      <c r="U73" s="294">
        <f t="shared" si="49"/>
        <v>0</v>
      </c>
      <c r="V73" s="294">
        <f t="shared" si="50"/>
        <v>2548</v>
      </c>
      <c r="W73" s="323">
        <f t="shared" si="51"/>
        <v>144603</v>
      </c>
      <c r="X73" s="295" t="s">
        <v>85</v>
      </c>
    </row>
    <row r="74" spans="2:30" s="308" customFormat="1">
      <c r="B74" s="308" t="s">
        <v>49</v>
      </c>
      <c r="C74" s="308">
        <v>1269131</v>
      </c>
      <c r="D74" s="308">
        <v>279312</v>
      </c>
      <c r="E74" s="308">
        <v>111509</v>
      </c>
      <c r="G74" s="308">
        <v>1897</v>
      </c>
      <c r="H74" s="308">
        <v>17225</v>
      </c>
      <c r="I74" s="308">
        <f t="shared" si="43"/>
        <v>1679074</v>
      </c>
      <c r="J74" s="308">
        <v>41887</v>
      </c>
      <c r="K74" s="308">
        <v>3708</v>
      </c>
      <c r="L74" s="308">
        <v>210</v>
      </c>
      <c r="M74" s="308">
        <v>16345</v>
      </c>
      <c r="P74" s="308">
        <f t="shared" si="44"/>
        <v>62150</v>
      </c>
      <c r="Q74" s="308">
        <f t="shared" si="45"/>
        <v>1311018</v>
      </c>
      <c r="R74" s="308">
        <f t="shared" si="46"/>
        <v>283020</v>
      </c>
      <c r="S74" s="308">
        <f t="shared" si="47"/>
        <v>111719</v>
      </c>
      <c r="T74" s="308">
        <f t="shared" si="48"/>
        <v>16345</v>
      </c>
      <c r="U74" s="308">
        <f t="shared" si="49"/>
        <v>1897</v>
      </c>
      <c r="V74" s="308">
        <f t="shared" si="50"/>
        <v>17225</v>
      </c>
      <c r="W74" s="323">
        <f t="shared" si="51"/>
        <v>1741224</v>
      </c>
      <c r="X74" s="308" t="s">
        <v>241</v>
      </c>
    </row>
    <row r="75" spans="2:30" s="294" customFormat="1">
      <c r="B75" s="294" t="s">
        <v>114</v>
      </c>
      <c r="I75" s="294">
        <f t="shared" si="43"/>
        <v>0</v>
      </c>
      <c r="P75" s="294">
        <f t="shared" si="44"/>
        <v>0</v>
      </c>
      <c r="Q75" s="294">
        <f t="shared" si="45"/>
        <v>0</v>
      </c>
      <c r="R75" s="294">
        <f t="shared" si="46"/>
        <v>0</v>
      </c>
      <c r="S75" s="294">
        <f t="shared" si="47"/>
        <v>0</v>
      </c>
      <c r="T75" s="294">
        <f t="shared" si="48"/>
        <v>0</v>
      </c>
      <c r="U75" s="294">
        <f t="shared" si="49"/>
        <v>0</v>
      </c>
      <c r="V75" s="294">
        <f t="shared" si="50"/>
        <v>0</v>
      </c>
      <c r="W75" s="323">
        <f t="shared" si="51"/>
        <v>0</v>
      </c>
      <c r="X75" s="294" t="s">
        <v>241</v>
      </c>
      <c r="AD75" s="308"/>
    </row>
    <row r="76" spans="2:30" s="294" customFormat="1">
      <c r="B76" s="294" t="s">
        <v>72</v>
      </c>
      <c r="C76" s="294">
        <v>804491</v>
      </c>
      <c r="I76" s="294">
        <f t="shared" si="43"/>
        <v>804491</v>
      </c>
      <c r="P76" s="294">
        <f t="shared" si="44"/>
        <v>0</v>
      </c>
      <c r="Q76" s="294">
        <f t="shared" si="45"/>
        <v>804491</v>
      </c>
      <c r="R76" s="294">
        <f t="shared" si="46"/>
        <v>0</v>
      </c>
      <c r="S76" s="294">
        <f t="shared" si="47"/>
        <v>0</v>
      </c>
      <c r="T76" s="294">
        <f t="shared" si="48"/>
        <v>0</v>
      </c>
      <c r="U76" s="294">
        <f t="shared" si="49"/>
        <v>0</v>
      </c>
      <c r="V76" s="294">
        <f t="shared" si="50"/>
        <v>0</v>
      </c>
      <c r="W76" s="323">
        <f t="shared" si="51"/>
        <v>804491</v>
      </c>
      <c r="X76" s="294" t="s">
        <v>241</v>
      </c>
    </row>
    <row r="77" spans="2:30" s="294" customFormat="1">
      <c r="B77" s="294" t="s">
        <v>115</v>
      </c>
      <c r="I77" s="294">
        <f t="shared" si="43"/>
        <v>0</v>
      </c>
      <c r="P77" s="294">
        <f t="shared" si="44"/>
        <v>0</v>
      </c>
      <c r="Q77" s="294">
        <f t="shared" si="45"/>
        <v>0</v>
      </c>
      <c r="R77" s="294">
        <f t="shared" si="46"/>
        <v>0</v>
      </c>
      <c r="S77" s="294">
        <f t="shared" si="47"/>
        <v>0</v>
      </c>
      <c r="T77" s="294">
        <f t="shared" si="48"/>
        <v>0</v>
      </c>
      <c r="U77" s="294">
        <f t="shared" si="49"/>
        <v>0</v>
      </c>
      <c r="V77" s="294">
        <f t="shared" si="50"/>
        <v>0</v>
      </c>
      <c r="W77" s="323">
        <f t="shared" si="51"/>
        <v>0</v>
      </c>
      <c r="X77" s="294" t="s">
        <v>241</v>
      </c>
    </row>
    <row r="78" spans="2:30" s="294" customFormat="1">
      <c r="B78" s="294" t="s">
        <v>116</v>
      </c>
      <c r="C78" s="294">
        <v>74138</v>
      </c>
      <c r="I78" s="294">
        <f t="shared" si="43"/>
        <v>74138</v>
      </c>
      <c r="P78" s="294">
        <f t="shared" si="44"/>
        <v>0</v>
      </c>
      <c r="Q78" s="294">
        <f t="shared" si="45"/>
        <v>74138</v>
      </c>
      <c r="R78" s="294">
        <f t="shared" si="46"/>
        <v>0</v>
      </c>
      <c r="S78" s="294">
        <f t="shared" si="47"/>
        <v>0</v>
      </c>
      <c r="T78" s="294">
        <f t="shared" si="48"/>
        <v>0</v>
      </c>
      <c r="U78" s="294">
        <f t="shared" si="49"/>
        <v>0</v>
      </c>
      <c r="V78" s="294">
        <f t="shared" si="50"/>
        <v>0</v>
      </c>
      <c r="W78" s="323">
        <f t="shared" si="51"/>
        <v>74138</v>
      </c>
      <c r="X78" s="294" t="s">
        <v>241</v>
      </c>
    </row>
    <row r="79" spans="2:30" s="294" customFormat="1">
      <c r="B79" s="294" t="s">
        <v>117</v>
      </c>
      <c r="I79" s="294">
        <f t="shared" si="43"/>
        <v>0</v>
      </c>
      <c r="P79" s="294">
        <f t="shared" si="44"/>
        <v>0</v>
      </c>
      <c r="Q79" s="294">
        <f t="shared" si="45"/>
        <v>0</v>
      </c>
      <c r="R79" s="294">
        <f t="shared" si="46"/>
        <v>0</v>
      </c>
      <c r="S79" s="294">
        <f t="shared" si="47"/>
        <v>0</v>
      </c>
      <c r="T79" s="294">
        <f t="shared" si="48"/>
        <v>0</v>
      </c>
      <c r="U79" s="294">
        <f t="shared" si="49"/>
        <v>0</v>
      </c>
      <c r="V79" s="294">
        <f t="shared" si="50"/>
        <v>0</v>
      </c>
      <c r="W79" s="323">
        <f t="shared" si="51"/>
        <v>0</v>
      </c>
      <c r="X79" s="294" t="s">
        <v>241</v>
      </c>
    </row>
    <row r="80" spans="2:30" s="294" customFormat="1">
      <c r="B80" s="294" t="s">
        <v>118</v>
      </c>
      <c r="D80" s="294">
        <v>92</v>
      </c>
      <c r="I80" s="294">
        <f t="shared" si="43"/>
        <v>92</v>
      </c>
      <c r="K80" s="294">
        <v>2046</v>
      </c>
      <c r="P80" s="294">
        <f t="shared" si="44"/>
        <v>2046</v>
      </c>
      <c r="Q80" s="294">
        <f t="shared" si="45"/>
        <v>0</v>
      </c>
      <c r="R80" s="294">
        <f t="shared" si="46"/>
        <v>2138</v>
      </c>
      <c r="S80" s="294">
        <f t="shared" si="47"/>
        <v>0</v>
      </c>
      <c r="T80" s="294">
        <f t="shared" si="48"/>
        <v>0</v>
      </c>
      <c r="U80" s="294">
        <f t="shared" si="49"/>
        <v>0</v>
      </c>
      <c r="V80" s="294">
        <f t="shared" si="50"/>
        <v>0</v>
      </c>
      <c r="W80" s="323">
        <f t="shared" si="51"/>
        <v>2138</v>
      </c>
      <c r="X80" s="294" t="s">
        <v>241</v>
      </c>
    </row>
    <row r="81" spans="2:30" s="294" customFormat="1">
      <c r="B81" s="294" t="s">
        <v>119</v>
      </c>
      <c r="C81" s="294">
        <v>62</v>
      </c>
      <c r="I81" s="294">
        <f t="shared" si="43"/>
        <v>62</v>
      </c>
      <c r="P81" s="294">
        <f t="shared" si="44"/>
        <v>0</v>
      </c>
      <c r="Q81" s="294">
        <f t="shared" si="45"/>
        <v>62</v>
      </c>
      <c r="R81" s="294">
        <f t="shared" si="46"/>
        <v>0</v>
      </c>
      <c r="S81" s="294">
        <f t="shared" si="47"/>
        <v>0</v>
      </c>
      <c r="T81" s="294">
        <f t="shared" si="48"/>
        <v>0</v>
      </c>
      <c r="U81" s="294">
        <f t="shared" si="49"/>
        <v>0</v>
      </c>
      <c r="V81" s="294">
        <f t="shared" si="50"/>
        <v>0</v>
      </c>
      <c r="W81" s="323">
        <f t="shared" si="51"/>
        <v>62</v>
      </c>
      <c r="X81" s="294" t="s">
        <v>241</v>
      </c>
    </row>
    <row r="82" spans="2:30" s="294" customFormat="1">
      <c r="B82" s="294" t="s">
        <v>120</v>
      </c>
      <c r="D82" s="294">
        <v>10</v>
      </c>
      <c r="I82" s="294">
        <f t="shared" si="43"/>
        <v>10</v>
      </c>
      <c r="L82" s="294">
        <v>210</v>
      </c>
      <c r="M82" s="294">
        <v>179</v>
      </c>
      <c r="P82" s="294">
        <f t="shared" si="44"/>
        <v>389</v>
      </c>
      <c r="Q82" s="294">
        <f t="shared" si="45"/>
        <v>0</v>
      </c>
      <c r="R82" s="294">
        <f t="shared" si="46"/>
        <v>10</v>
      </c>
      <c r="S82" s="294">
        <f t="shared" si="47"/>
        <v>210</v>
      </c>
      <c r="T82" s="294">
        <f t="shared" si="48"/>
        <v>179</v>
      </c>
      <c r="U82" s="294">
        <f t="shared" si="49"/>
        <v>0</v>
      </c>
      <c r="V82" s="294">
        <f t="shared" si="50"/>
        <v>0</v>
      </c>
      <c r="W82" s="323">
        <f t="shared" si="51"/>
        <v>399</v>
      </c>
      <c r="X82" s="294" t="s">
        <v>241</v>
      </c>
    </row>
    <row r="83" spans="2:30" s="294" customFormat="1">
      <c r="B83" s="294" t="s">
        <v>121</v>
      </c>
      <c r="C83" s="294">
        <v>174306</v>
      </c>
      <c r="I83" s="294">
        <f t="shared" si="43"/>
        <v>174306</v>
      </c>
      <c r="P83" s="294">
        <f t="shared" si="44"/>
        <v>0</v>
      </c>
      <c r="Q83" s="294">
        <f t="shared" si="45"/>
        <v>174306</v>
      </c>
      <c r="R83" s="294">
        <f t="shared" si="46"/>
        <v>0</v>
      </c>
      <c r="S83" s="294">
        <f t="shared" si="47"/>
        <v>0</v>
      </c>
      <c r="T83" s="294">
        <f t="shared" si="48"/>
        <v>0</v>
      </c>
      <c r="U83" s="294">
        <f t="shared" si="49"/>
        <v>0</v>
      </c>
      <c r="V83" s="294">
        <f t="shared" si="50"/>
        <v>0</v>
      </c>
      <c r="W83" s="323">
        <f t="shared" si="51"/>
        <v>174306</v>
      </c>
      <c r="X83" s="294" t="s">
        <v>241</v>
      </c>
    </row>
    <row r="84" spans="2:30" s="294" customFormat="1">
      <c r="B84" s="294" t="s">
        <v>122</v>
      </c>
      <c r="C84" s="294">
        <v>35260</v>
      </c>
      <c r="I84" s="294">
        <f t="shared" si="43"/>
        <v>35260</v>
      </c>
      <c r="P84" s="294">
        <f t="shared" si="44"/>
        <v>0</v>
      </c>
      <c r="Q84" s="294">
        <f t="shared" si="45"/>
        <v>35260</v>
      </c>
      <c r="R84" s="294">
        <f t="shared" si="46"/>
        <v>0</v>
      </c>
      <c r="S84" s="294">
        <f t="shared" si="47"/>
        <v>0</v>
      </c>
      <c r="T84" s="294">
        <f t="shared" si="48"/>
        <v>0</v>
      </c>
      <c r="U84" s="294">
        <f t="shared" si="49"/>
        <v>0</v>
      </c>
      <c r="V84" s="294">
        <f t="shared" si="50"/>
        <v>0</v>
      </c>
      <c r="W84" s="323">
        <f t="shared" si="51"/>
        <v>35260</v>
      </c>
      <c r="X84" s="294" t="s">
        <v>241</v>
      </c>
    </row>
    <row r="85" spans="2:30" s="294" customFormat="1">
      <c r="B85" s="294" t="s">
        <v>123</v>
      </c>
      <c r="I85" s="294">
        <f t="shared" si="43"/>
        <v>0</v>
      </c>
      <c r="J85" s="294">
        <v>9165</v>
      </c>
      <c r="P85" s="294">
        <f t="shared" si="44"/>
        <v>9165</v>
      </c>
      <c r="Q85" s="294">
        <f t="shared" si="45"/>
        <v>9165</v>
      </c>
      <c r="R85" s="294">
        <f t="shared" si="46"/>
        <v>0</v>
      </c>
      <c r="S85" s="294">
        <f t="shared" si="47"/>
        <v>0</v>
      </c>
      <c r="T85" s="294">
        <f t="shared" si="48"/>
        <v>0</v>
      </c>
      <c r="U85" s="294">
        <f t="shared" si="49"/>
        <v>0</v>
      </c>
      <c r="V85" s="294">
        <f t="shared" si="50"/>
        <v>0</v>
      </c>
      <c r="W85" s="323">
        <f t="shared" si="51"/>
        <v>9165</v>
      </c>
      <c r="X85" s="294" t="s">
        <v>241</v>
      </c>
    </row>
    <row r="86" spans="2:30" s="294" customFormat="1">
      <c r="B86" s="294" t="s">
        <v>124</v>
      </c>
      <c r="C86" s="294">
        <v>1271</v>
      </c>
      <c r="D86" s="294">
        <v>32258</v>
      </c>
      <c r="E86" s="294">
        <v>9471</v>
      </c>
      <c r="H86" s="294">
        <v>2794</v>
      </c>
      <c r="I86" s="294">
        <f t="shared" si="43"/>
        <v>45794</v>
      </c>
      <c r="P86" s="294">
        <f t="shared" si="44"/>
        <v>0</v>
      </c>
      <c r="Q86" s="294">
        <f t="shared" si="45"/>
        <v>1271</v>
      </c>
      <c r="R86" s="294">
        <f t="shared" si="46"/>
        <v>32258</v>
      </c>
      <c r="S86" s="294">
        <f t="shared" si="47"/>
        <v>9471</v>
      </c>
      <c r="T86" s="294">
        <f t="shared" si="48"/>
        <v>0</v>
      </c>
      <c r="U86" s="294">
        <f t="shared" si="49"/>
        <v>0</v>
      </c>
      <c r="V86" s="294">
        <f t="shared" si="50"/>
        <v>2794</v>
      </c>
      <c r="W86" s="323">
        <f t="shared" si="51"/>
        <v>45794</v>
      </c>
      <c r="X86" s="294" t="s">
        <v>241</v>
      </c>
    </row>
    <row r="87" spans="2:30" s="294" customFormat="1">
      <c r="B87" s="294" t="s">
        <v>73</v>
      </c>
      <c r="C87" s="294">
        <v>116468</v>
      </c>
      <c r="D87" s="294">
        <v>246952</v>
      </c>
      <c r="E87" s="294">
        <v>102038</v>
      </c>
      <c r="G87" s="294">
        <v>1897</v>
      </c>
      <c r="H87" s="294">
        <v>14431</v>
      </c>
      <c r="I87" s="294">
        <f t="shared" si="43"/>
        <v>481786</v>
      </c>
      <c r="K87" s="294">
        <v>1662</v>
      </c>
      <c r="M87" s="294">
        <v>16166</v>
      </c>
      <c r="P87" s="294">
        <f t="shared" si="44"/>
        <v>17828</v>
      </c>
      <c r="Q87" s="294">
        <f t="shared" si="45"/>
        <v>116468</v>
      </c>
      <c r="R87" s="294">
        <f t="shared" si="46"/>
        <v>248614</v>
      </c>
      <c r="S87" s="294">
        <f t="shared" si="47"/>
        <v>102038</v>
      </c>
      <c r="T87" s="294">
        <f t="shared" si="48"/>
        <v>16166</v>
      </c>
      <c r="U87" s="294">
        <f t="shared" si="49"/>
        <v>1897</v>
      </c>
      <c r="V87" s="294">
        <f t="shared" si="50"/>
        <v>14431</v>
      </c>
      <c r="W87" s="323">
        <f t="shared" si="51"/>
        <v>499614</v>
      </c>
      <c r="X87" s="294" t="s">
        <v>241</v>
      </c>
    </row>
    <row r="88" spans="2:30" s="294" customFormat="1">
      <c r="B88" s="294" t="s">
        <v>125</v>
      </c>
      <c r="I88" s="294">
        <f t="shared" si="43"/>
        <v>0</v>
      </c>
      <c r="J88" s="294">
        <v>32722</v>
      </c>
      <c r="P88" s="294">
        <f t="shared" si="44"/>
        <v>32722</v>
      </c>
      <c r="Q88" s="294">
        <f t="shared" si="45"/>
        <v>32722</v>
      </c>
      <c r="R88" s="294">
        <f t="shared" si="46"/>
        <v>0</v>
      </c>
      <c r="S88" s="294">
        <f t="shared" si="47"/>
        <v>0</v>
      </c>
      <c r="T88" s="294">
        <f t="shared" si="48"/>
        <v>0</v>
      </c>
      <c r="U88" s="294">
        <f t="shared" si="49"/>
        <v>0</v>
      </c>
      <c r="V88" s="294">
        <f t="shared" si="50"/>
        <v>0</v>
      </c>
      <c r="W88" s="323">
        <f t="shared" si="51"/>
        <v>32722</v>
      </c>
      <c r="X88" s="294" t="s">
        <v>241</v>
      </c>
    </row>
    <row r="89" spans="2:30" s="294" customFormat="1">
      <c r="B89" s="294" t="s">
        <v>126</v>
      </c>
      <c r="I89" s="294">
        <f t="shared" si="43"/>
        <v>0</v>
      </c>
      <c r="P89" s="294">
        <f t="shared" si="44"/>
        <v>0</v>
      </c>
      <c r="Q89" s="294">
        <f t="shared" si="45"/>
        <v>0</v>
      </c>
      <c r="R89" s="294">
        <f t="shared" si="46"/>
        <v>0</v>
      </c>
      <c r="S89" s="294">
        <f t="shared" si="47"/>
        <v>0</v>
      </c>
      <c r="T89" s="294">
        <f t="shared" si="48"/>
        <v>0</v>
      </c>
      <c r="U89" s="294">
        <f t="shared" si="49"/>
        <v>0</v>
      </c>
      <c r="V89" s="294">
        <f t="shared" si="50"/>
        <v>0</v>
      </c>
      <c r="W89" s="323">
        <f t="shared" si="51"/>
        <v>0</v>
      </c>
      <c r="X89" s="294" t="s">
        <v>241</v>
      </c>
    </row>
    <row r="90" spans="2:30" s="294" customFormat="1">
      <c r="B90" s="294" t="s">
        <v>127</v>
      </c>
      <c r="C90" s="294">
        <v>63135</v>
      </c>
      <c r="I90" s="294">
        <f t="shared" si="43"/>
        <v>63135</v>
      </c>
      <c r="P90" s="294">
        <f t="shared" si="44"/>
        <v>0</v>
      </c>
      <c r="Q90" s="294">
        <f t="shared" si="45"/>
        <v>63135</v>
      </c>
      <c r="R90" s="294">
        <f t="shared" si="46"/>
        <v>0</v>
      </c>
      <c r="S90" s="294">
        <f t="shared" si="47"/>
        <v>0</v>
      </c>
      <c r="T90" s="294">
        <f t="shared" si="48"/>
        <v>0</v>
      </c>
      <c r="U90" s="294">
        <f t="shared" si="49"/>
        <v>0</v>
      </c>
      <c r="V90" s="294">
        <f t="shared" si="50"/>
        <v>0</v>
      </c>
      <c r="W90" s="323">
        <f t="shared" si="51"/>
        <v>63135</v>
      </c>
      <c r="X90" s="294" t="s">
        <v>241</v>
      </c>
    </row>
    <row r="91" spans="2:30" s="308" customFormat="1">
      <c r="B91" s="308" t="s">
        <v>52</v>
      </c>
      <c r="C91" s="308">
        <v>728432</v>
      </c>
      <c r="D91" s="308">
        <v>938</v>
      </c>
      <c r="E91" s="308">
        <v>1203561</v>
      </c>
      <c r="H91" s="308">
        <v>35368</v>
      </c>
      <c r="I91" s="308">
        <f t="shared" si="43"/>
        <v>1968299</v>
      </c>
      <c r="K91" s="308">
        <v>151</v>
      </c>
      <c r="L91" s="308">
        <v>966556</v>
      </c>
      <c r="M91" s="308">
        <v>1658</v>
      </c>
      <c r="O91" s="308">
        <v>2848</v>
      </c>
      <c r="P91" s="308">
        <f t="shared" si="44"/>
        <v>971213</v>
      </c>
      <c r="Q91" s="308">
        <f t="shared" si="45"/>
        <v>728432</v>
      </c>
      <c r="R91" s="308">
        <f t="shared" si="46"/>
        <v>1089</v>
      </c>
      <c r="S91" s="308">
        <f t="shared" si="47"/>
        <v>2170117</v>
      </c>
      <c r="T91" s="308">
        <f t="shared" si="48"/>
        <v>1658</v>
      </c>
      <c r="U91" s="308">
        <f t="shared" si="49"/>
        <v>0</v>
      </c>
      <c r="V91" s="308">
        <f t="shared" si="50"/>
        <v>38216</v>
      </c>
      <c r="W91" s="323">
        <f t="shared" si="51"/>
        <v>2939512</v>
      </c>
      <c r="X91" s="308" t="s">
        <v>252</v>
      </c>
    </row>
    <row r="92" spans="2:30" s="294" customFormat="1">
      <c r="B92" s="294" t="s">
        <v>128</v>
      </c>
      <c r="C92" s="294">
        <v>439794</v>
      </c>
      <c r="I92" s="294">
        <f t="shared" si="43"/>
        <v>439794</v>
      </c>
      <c r="P92" s="294">
        <f t="shared" si="44"/>
        <v>0</v>
      </c>
      <c r="Q92" s="294">
        <f t="shared" si="45"/>
        <v>439794</v>
      </c>
      <c r="R92" s="294">
        <f t="shared" si="46"/>
        <v>0</v>
      </c>
      <c r="S92" s="294">
        <f t="shared" si="47"/>
        <v>0</v>
      </c>
      <c r="T92" s="294">
        <f t="shared" si="48"/>
        <v>0</v>
      </c>
      <c r="U92" s="294">
        <f t="shared" si="49"/>
        <v>0</v>
      </c>
      <c r="V92" s="294">
        <f t="shared" si="50"/>
        <v>0</v>
      </c>
      <c r="W92" s="323">
        <f t="shared" si="51"/>
        <v>439794</v>
      </c>
      <c r="X92" s="294" t="s">
        <v>252</v>
      </c>
      <c r="AD92" s="308"/>
    </row>
    <row r="93" spans="2:30" s="294" customFormat="1">
      <c r="B93" s="294" t="s">
        <v>129</v>
      </c>
      <c r="I93" s="294">
        <f t="shared" si="43"/>
        <v>0</v>
      </c>
      <c r="L93" s="294">
        <v>146</v>
      </c>
      <c r="P93" s="294">
        <f t="shared" si="44"/>
        <v>146</v>
      </c>
      <c r="Q93" s="294">
        <f t="shared" si="45"/>
        <v>0</v>
      </c>
      <c r="R93" s="294">
        <f t="shared" si="46"/>
        <v>0</v>
      </c>
      <c r="S93" s="294">
        <f t="shared" si="47"/>
        <v>146</v>
      </c>
      <c r="T93" s="294">
        <f t="shared" si="48"/>
        <v>0</v>
      </c>
      <c r="U93" s="294">
        <f t="shared" si="49"/>
        <v>0</v>
      </c>
      <c r="V93" s="294">
        <f t="shared" si="50"/>
        <v>0</v>
      </c>
      <c r="W93" s="323">
        <f t="shared" si="51"/>
        <v>146</v>
      </c>
      <c r="X93" s="294" t="s">
        <v>252</v>
      </c>
    </row>
    <row r="94" spans="2:30" s="294" customFormat="1">
      <c r="B94" s="294" t="s">
        <v>130</v>
      </c>
      <c r="C94" s="294">
        <v>143207</v>
      </c>
      <c r="D94" s="294">
        <v>69</v>
      </c>
      <c r="E94" s="294">
        <v>134726</v>
      </c>
      <c r="H94" s="294">
        <v>977</v>
      </c>
      <c r="I94" s="294">
        <f t="shared" si="43"/>
        <v>278979</v>
      </c>
      <c r="M94" s="294">
        <v>832</v>
      </c>
      <c r="P94" s="294">
        <f t="shared" si="44"/>
        <v>832</v>
      </c>
      <c r="Q94" s="294">
        <f t="shared" si="45"/>
        <v>143207</v>
      </c>
      <c r="R94" s="294">
        <f t="shared" si="46"/>
        <v>69</v>
      </c>
      <c r="S94" s="294">
        <f t="shared" si="47"/>
        <v>134726</v>
      </c>
      <c r="T94" s="294">
        <f t="shared" si="48"/>
        <v>832</v>
      </c>
      <c r="U94" s="294">
        <f t="shared" si="49"/>
        <v>0</v>
      </c>
      <c r="V94" s="294">
        <f t="shared" si="50"/>
        <v>977</v>
      </c>
      <c r="W94" s="323">
        <f t="shared" si="51"/>
        <v>279811</v>
      </c>
      <c r="X94" s="294" t="s">
        <v>252</v>
      </c>
    </row>
    <row r="95" spans="2:30" s="294" customFormat="1">
      <c r="B95" s="294" t="s">
        <v>131</v>
      </c>
      <c r="C95" s="294">
        <v>145431</v>
      </c>
      <c r="D95" s="294">
        <v>869</v>
      </c>
      <c r="E95" s="294">
        <v>846950</v>
      </c>
      <c r="H95" s="294">
        <v>34391</v>
      </c>
      <c r="I95" s="294">
        <f t="shared" si="43"/>
        <v>1027641</v>
      </c>
      <c r="K95" s="294">
        <v>151</v>
      </c>
      <c r="L95" s="294">
        <v>655439</v>
      </c>
      <c r="M95" s="294">
        <v>782</v>
      </c>
      <c r="O95" s="294">
        <v>2848</v>
      </c>
      <c r="P95" s="294">
        <f t="shared" si="44"/>
        <v>659220</v>
      </c>
      <c r="Q95" s="294">
        <f t="shared" si="45"/>
        <v>145431</v>
      </c>
      <c r="R95" s="294">
        <f t="shared" si="46"/>
        <v>1020</v>
      </c>
      <c r="S95" s="294">
        <f t="shared" si="47"/>
        <v>1502389</v>
      </c>
      <c r="T95" s="294">
        <f t="shared" si="48"/>
        <v>782</v>
      </c>
      <c r="U95" s="294">
        <f t="shared" si="49"/>
        <v>0</v>
      </c>
      <c r="V95" s="294">
        <f t="shared" si="50"/>
        <v>37239</v>
      </c>
      <c r="W95" s="323">
        <f t="shared" si="51"/>
        <v>1686861</v>
      </c>
      <c r="X95" s="294" t="s">
        <v>252</v>
      </c>
    </row>
    <row r="96" spans="2:30" s="294" customFormat="1">
      <c r="B96" s="294" t="s">
        <v>132</v>
      </c>
      <c r="I96" s="294">
        <f t="shared" si="43"/>
        <v>0</v>
      </c>
      <c r="L96" s="294">
        <v>15207</v>
      </c>
      <c r="P96" s="294">
        <f t="shared" si="44"/>
        <v>15207</v>
      </c>
      <c r="Q96" s="294">
        <f t="shared" si="45"/>
        <v>0</v>
      </c>
      <c r="R96" s="294">
        <f t="shared" si="46"/>
        <v>0</v>
      </c>
      <c r="S96" s="294">
        <f t="shared" si="47"/>
        <v>15207</v>
      </c>
      <c r="T96" s="294">
        <f t="shared" si="48"/>
        <v>0</v>
      </c>
      <c r="U96" s="294">
        <f t="shared" si="49"/>
        <v>0</v>
      </c>
      <c r="V96" s="294">
        <f t="shared" si="50"/>
        <v>0</v>
      </c>
      <c r="W96" s="323">
        <f t="shared" si="51"/>
        <v>15207</v>
      </c>
      <c r="X96" s="294" t="s">
        <v>252</v>
      </c>
    </row>
    <row r="97" spans="2:30" s="294" customFormat="1">
      <c r="B97" s="294" t="s">
        <v>133</v>
      </c>
      <c r="E97" s="294">
        <v>221885</v>
      </c>
      <c r="I97" s="294">
        <f t="shared" si="43"/>
        <v>221885</v>
      </c>
      <c r="L97" s="294">
        <v>295764</v>
      </c>
      <c r="M97" s="294">
        <v>44</v>
      </c>
      <c r="P97" s="294">
        <f t="shared" si="44"/>
        <v>295808</v>
      </c>
      <c r="Q97" s="294">
        <f t="shared" si="45"/>
        <v>0</v>
      </c>
      <c r="R97" s="294">
        <f t="shared" si="46"/>
        <v>0</v>
      </c>
      <c r="S97" s="294">
        <f t="shared" si="47"/>
        <v>517649</v>
      </c>
      <c r="T97" s="294">
        <f t="shared" si="48"/>
        <v>44</v>
      </c>
      <c r="U97" s="294">
        <f t="shared" si="49"/>
        <v>0</v>
      </c>
      <c r="V97" s="294">
        <f t="shared" si="50"/>
        <v>0</v>
      </c>
      <c r="W97" s="323">
        <f t="shared" si="51"/>
        <v>517693</v>
      </c>
      <c r="X97" s="294" t="s">
        <v>252</v>
      </c>
    </row>
    <row r="98" spans="2:30" s="308" customFormat="1">
      <c r="B98" s="308" t="s">
        <v>87</v>
      </c>
      <c r="C98" s="308">
        <v>691526</v>
      </c>
      <c r="D98" s="308">
        <v>60</v>
      </c>
      <c r="I98" s="308">
        <f t="shared" si="43"/>
        <v>691586</v>
      </c>
      <c r="J98" s="308">
        <v>232425</v>
      </c>
      <c r="K98" s="308">
        <v>757</v>
      </c>
      <c r="P98" s="308">
        <f t="shared" si="44"/>
        <v>233182</v>
      </c>
      <c r="Q98" s="308">
        <f t="shared" si="45"/>
        <v>923951</v>
      </c>
      <c r="R98" s="308">
        <f t="shared" si="46"/>
        <v>817</v>
      </c>
      <c r="S98" s="308">
        <f t="shared" si="47"/>
        <v>0</v>
      </c>
      <c r="T98" s="308">
        <f t="shared" si="48"/>
        <v>0</v>
      </c>
      <c r="U98" s="308">
        <f t="shared" si="49"/>
        <v>0</v>
      </c>
      <c r="V98" s="308">
        <f t="shared" si="50"/>
        <v>0</v>
      </c>
      <c r="W98" s="323">
        <f t="shared" si="51"/>
        <v>924768</v>
      </c>
      <c r="X98" s="308" t="s">
        <v>87</v>
      </c>
    </row>
    <row r="99" spans="2:30" s="294" customFormat="1">
      <c r="B99" s="294" t="s">
        <v>204</v>
      </c>
      <c r="D99" s="294">
        <v>60</v>
      </c>
      <c r="I99" s="294">
        <f t="shared" si="43"/>
        <v>60</v>
      </c>
      <c r="J99" s="294">
        <v>232425</v>
      </c>
      <c r="K99" s="294">
        <v>757</v>
      </c>
      <c r="P99" s="294">
        <f t="shared" si="44"/>
        <v>233182</v>
      </c>
      <c r="Q99" s="294">
        <f t="shared" si="45"/>
        <v>232425</v>
      </c>
      <c r="R99" s="294">
        <f t="shared" si="46"/>
        <v>817</v>
      </c>
      <c r="S99" s="294">
        <f t="shared" si="47"/>
        <v>0</v>
      </c>
      <c r="T99" s="294">
        <f t="shared" si="48"/>
        <v>0</v>
      </c>
      <c r="U99" s="294">
        <f t="shared" si="49"/>
        <v>0</v>
      </c>
      <c r="V99" s="294">
        <f t="shared" si="50"/>
        <v>0</v>
      </c>
      <c r="W99" s="323">
        <f t="shared" si="51"/>
        <v>233242</v>
      </c>
      <c r="X99" s="294" t="s">
        <v>87</v>
      </c>
      <c r="AD99" s="308"/>
    </row>
    <row r="100" spans="2:30" s="294" customFormat="1">
      <c r="B100" s="294" t="s">
        <v>134</v>
      </c>
      <c r="C100" s="294">
        <v>492419</v>
      </c>
      <c r="I100" s="294">
        <f t="shared" si="43"/>
        <v>492419</v>
      </c>
      <c r="P100" s="294">
        <f t="shared" si="44"/>
        <v>0</v>
      </c>
      <c r="Q100" s="294">
        <f t="shared" si="45"/>
        <v>492419</v>
      </c>
      <c r="R100" s="294">
        <f t="shared" si="46"/>
        <v>0</v>
      </c>
      <c r="S100" s="294">
        <f t="shared" si="47"/>
        <v>0</v>
      </c>
      <c r="T100" s="294">
        <f t="shared" si="48"/>
        <v>0</v>
      </c>
      <c r="U100" s="294">
        <f t="shared" si="49"/>
        <v>0</v>
      </c>
      <c r="V100" s="294">
        <f t="shared" si="50"/>
        <v>0</v>
      </c>
      <c r="W100" s="323">
        <f t="shared" si="51"/>
        <v>492419</v>
      </c>
      <c r="X100" s="294" t="s">
        <v>87</v>
      </c>
    </row>
    <row r="101" spans="2:30" s="294" customFormat="1">
      <c r="B101" s="294" t="s">
        <v>135</v>
      </c>
      <c r="C101" s="294">
        <v>89523</v>
      </c>
      <c r="I101" s="294">
        <f t="shared" si="43"/>
        <v>89523</v>
      </c>
      <c r="P101" s="294">
        <f t="shared" si="44"/>
        <v>0</v>
      </c>
      <c r="Q101" s="294">
        <f t="shared" si="45"/>
        <v>89523</v>
      </c>
      <c r="R101" s="294">
        <f t="shared" si="46"/>
        <v>0</v>
      </c>
      <c r="S101" s="294">
        <f t="shared" si="47"/>
        <v>0</v>
      </c>
      <c r="T101" s="294">
        <f t="shared" si="48"/>
        <v>0</v>
      </c>
      <c r="U101" s="294">
        <f t="shared" si="49"/>
        <v>0</v>
      </c>
      <c r="V101" s="294">
        <f t="shared" si="50"/>
        <v>0</v>
      </c>
      <c r="W101" s="323">
        <f t="shared" si="51"/>
        <v>89523</v>
      </c>
      <c r="X101" s="294" t="s">
        <v>87</v>
      </c>
    </row>
    <row r="102" spans="2:30" s="294" customFormat="1">
      <c r="B102" s="294" t="s">
        <v>136</v>
      </c>
      <c r="C102" s="294">
        <v>2650</v>
      </c>
      <c r="I102" s="294">
        <f t="shared" si="43"/>
        <v>2650</v>
      </c>
      <c r="P102" s="294">
        <f t="shared" si="44"/>
        <v>0</v>
      </c>
      <c r="Q102" s="294">
        <f t="shared" si="45"/>
        <v>2650</v>
      </c>
      <c r="R102" s="294">
        <f t="shared" si="46"/>
        <v>0</v>
      </c>
      <c r="S102" s="294">
        <f t="shared" si="47"/>
        <v>0</v>
      </c>
      <c r="T102" s="294">
        <f t="shared" si="48"/>
        <v>0</v>
      </c>
      <c r="U102" s="294">
        <f t="shared" si="49"/>
        <v>0</v>
      </c>
      <c r="V102" s="294">
        <f t="shared" si="50"/>
        <v>0</v>
      </c>
      <c r="W102" s="323">
        <f t="shared" si="51"/>
        <v>2650</v>
      </c>
      <c r="X102" s="294" t="s">
        <v>87</v>
      </c>
    </row>
    <row r="103" spans="2:30" s="294" customFormat="1">
      <c r="B103" s="294" t="s">
        <v>137</v>
      </c>
      <c r="C103" s="294">
        <v>106934</v>
      </c>
      <c r="I103" s="294">
        <f t="shared" si="43"/>
        <v>106934</v>
      </c>
      <c r="P103" s="294">
        <f t="shared" si="44"/>
        <v>0</v>
      </c>
      <c r="Q103" s="294">
        <f t="shared" si="45"/>
        <v>106934</v>
      </c>
      <c r="R103" s="294">
        <f t="shared" si="46"/>
        <v>0</v>
      </c>
      <c r="S103" s="294">
        <f t="shared" si="47"/>
        <v>0</v>
      </c>
      <c r="T103" s="294">
        <f t="shared" si="48"/>
        <v>0</v>
      </c>
      <c r="U103" s="294">
        <f t="shared" si="49"/>
        <v>0</v>
      </c>
      <c r="V103" s="294">
        <f t="shared" si="50"/>
        <v>0</v>
      </c>
      <c r="W103" s="323">
        <f t="shared" si="51"/>
        <v>106934</v>
      </c>
      <c r="X103" s="294" t="s">
        <v>87</v>
      </c>
    </row>
    <row r="104" spans="2:30" s="294" customFormat="1">
      <c r="B104" s="308" t="s">
        <v>51</v>
      </c>
      <c r="C104" s="308">
        <v>1332124</v>
      </c>
      <c r="D104" s="308">
        <v>66710</v>
      </c>
      <c r="E104" s="308">
        <v>940745</v>
      </c>
      <c r="F104" s="308">
        <v>565864</v>
      </c>
      <c r="G104" s="308">
        <v>95022</v>
      </c>
      <c r="H104" s="308">
        <v>3140</v>
      </c>
      <c r="I104" s="308">
        <f t="shared" si="43"/>
        <v>3003605</v>
      </c>
      <c r="J104" s="308"/>
      <c r="K104" s="308">
        <v>17</v>
      </c>
      <c r="L104" s="308">
        <v>42762</v>
      </c>
      <c r="M104" s="308">
        <v>2139</v>
      </c>
      <c r="N104" s="308"/>
      <c r="O104" s="308"/>
      <c r="P104" s="308">
        <f t="shared" si="44"/>
        <v>44918</v>
      </c>
      <c r="Q104" s="308">
        <f t="shared" si="45"/>
        <v>1332124</v>
      </c>
      <c r="R104" s="308">
        <f t="shared" si="46"/>
        <v>66727</v>
      </c>
      <c r="S104" s="308">
        <f t="shared" si="47"/>
        <v>983507</v>
      </c>
      <c r="T104" s="308">
        <f t="shared" si="48"/>
        <v>568003</v>
      </c>
      <c r="U104" s="308">
        <f t="shared" si="49"/>
        <v>95022</v>
      </c>
      <c r="V104" s="308">
        <f t="shared" si="50"/>
        <v>3140</v>
      </c>
      <c r="W104" s="323">
        <f t="shared" si="51"/>
        <v>3048523</v>
      </c>
      <c r="X104" s="308" t="s">
        <v>248</v>
      </c>
      <c r="AD104" s="308"/>
    </row>
    <row r="105" spans="2:30" s="294" customFormat="1">
      <c r="B105" s="294" t="s">
        <v>138</v>
      </c>
      <c r="C105" s="294">
        <v>2088</v>
      </c>
      <c r="E105" s="294">
        <v>102306</v>
      </c>
      <c r="I105" s="294">
        <f t="shared" si="43"/>
        <v>104394</v>
      </c>
      <c r="P105" s="294">
        <f t="shared" si="44"/>
        <v>0</v>
      </c>
      <c r="Q105" s="294">
        <f t="shared" si="45"/>
        <v>2088</v>
      </c>
      <c r="R105" s="294">
        <f t="shared" si="46"/>
        <v>0</v>
      </c>
      <c r="S105" s="294">
        <f t="shared" si="47"/>
        <v>102306</v>
      </c>
      <c r="T105" s="294">
        <f t="shared" si="48"/>
        <v>0</v>
      </c>
      <c r="U105" s="294">
        <f t="shared" si="49"/>
        <v>0</v>
      </c>
      <c r="V105" s="294">
        <f t="shared" si="50"/>
        <v>0</v>
      </c>
      <c r="W105" s="323">
        <f>SUM(Q105:V105)</f>
        <v>104394</v>
      </c>
      <c r="X105" s="294" t="s">
        <v>248</v>
      </c>
    </row>
    <row r="106" spans="2:30" s="294" customFormat="1">
      <c r="B106" s="294" t="s">
        <v>139</v>
      </c>
      <c r="C106" s="294">
        <v>1330036</v>
      </c>
      <c r="D106" s="294">
        <v>66710</v>
      </c>
      <c r="E106" s="294">
        <v>838439</v>
      </c>
      <c r="F106" s="294">
        <v>565864</v>
      </c>
      <c r="G106" s="294">
        <v>95022</v>
      </c>
      <c r="H106" s="294">
        <v>3140</v>
      </c>
      <c r="I106" s="294">
        <f t="shared" si="43"/>
        <v>2899211</v>
      </c>
      <c r="K106" s="294">
        <v>17</v>
      </c>
      <c r="L106" s="294">
        <v>42762</v>
      </c>
      <c r="M106" s="294">
        <v>2139</v>
      </c>
      <c r="P106" s="294">
        <f t="shared" si="44"/>
        <v>44918</v>
      </c>
      <c r="Q106" s="294">
        <f t="shared" si="45"/>
        <v>1330036</v>
      </c>
      <c r="R106" s="294">
        <f t="shared" si="46"/>
        <v>66727</v>
      </c>
      <c r="S106" s="294">
        <f t="shared" si="47"/>
        <v>881201</v>
      </c>
      <c r="T106" s="294">
        <f t="shared" si="48"/>
        <v>568003</v>
      </c>
      <c r="U106" s="294">
        <f t="shared" si="49"/>
        <v>95022</v>
      </c>
      <c r="V106" s="294">
        <f t="shared" si="50"/>
        <v>3140</v>
      </c>
      <c r="W106" s="323">
        <f t="shared" si="51"/>
        <v>2944129</v>
      </c>
      <c r="X106" s="294" t="s">
        <v>248</v>
      </c>
    </row>
    <row r="107" spans="2:30" s="294" customFormat="1">
      <c r="B107" s="294" t="s">
        <v>140</v>
      </c>
      <c r="I107" s="294">
        <f t="shared" si="43"/>
        <v>0</v>
      </c>
      <c r="P107" s="294">
        <f t="shared" si="44"/>
        <v>0</v>
      </c>
      <c r="Q107" s="294">
        <f t="shared" si="45"/>
        <v>0</v>
      </c>
      <c r="R107" s="294">
        <f t="shared" si="46"/>
        <v>0</v>
      </c>
      <c r="S107" s="294">
        <f t="shared" si="47"/>
        <v>0</v>
      </c>
      <c r="T107" s="294">
        <f t="shared" si="48"/>
        <v>0</v>
      </c>
      <c r="U107" s="294">
        <f t="shared" si="49"/>
        <v>0</v>
      </c>
      <c r="V107" s="294">
        <f t="shared" si="50"/>
        <v>0</v>
      </c>
      <c r="W107" s="323">
        <f t="shared" si="51"/>
        <v>0</v>
      </c>
      <c r="X107" s="294" t="s">
        <v>248</v>
      </c>
    </row>
    <row r="108" spans="2:30" s="308" customFormat="1">
      <c r="B108" s="308" t="s">
        <v>84</v>
      </c>
      <c r="C108" s="308">
        <v>312353</v>
      </c>
      <c r="D108" s="308">
        <v>1054506</v>
      </c>
      <c r="E108" s="308">
        <v>1437744</v>
      </c>
      <c r="G108" s="308">
        <v>807067</v>
      </c>
      <c r="H108" s="308">
        <v>1040861</v>
      </c>
      <c r="I108" s="308">
        <f t="shared" si="43"/>
        <v>4652531</v>
      </c>
      <c r="K108" s="308">
        <v>1770</v>
      </c>
      <c r="L108" s="308">
        <v>36480</v>
      </c>
      <c r="M108" s="308">
        <v>526</v>
      </c>
      <c r="O108" s="308">
        <v>188950</v>
      </c>
      <c r="P108" s="308">
        <f t="shared" si="44"/>
        <v>227726</v>
      </c>
      <c r="Q108" s="308">
        <f t="shared" si="45"/>
        <v>312353</v>
      </c>
      <c r="R108" s="308">
        <f t="shared" si="46"/>
        <v>1056276</v>
      </c>
      <c r="S108" s="308">
        <f t="shared" si="47"/>
        <v>1474224</v>
      </c>
      <c r="T108" s="308">
        <f t="shared" si="48"/>
        <v>526</v>
      </c>
      <c r="U108" s="308">
        <f t="shared" si="49"/>
        <v>807067</v>
      </c>
      <c r="V108" s="308">
        <f t="shared" si="50"/>
        <v>1229811</v>
      </c>
      <c r="W108" s="323">
        <f t="shared" si="51"/>
        <v>4880257</v>
      </c>
      <c r="X108" s="308" t="s">
        <v>84</v>
      </c>
    </row>
    <row r="109" spans="2:30" s="294" customFormat="1">
      <c r="B109" s="294" t="s">
        <v>141</v>
      </c>
      <c r="D109" s="294">
        <v>487</v>
      </c>
      <c r="E109" s="294">
        <v>56410</v>
      </c>
      <c r="H109" s="294">
        <v>135049</v>
      </c>
      <c r="I109" s="294">
        <f t="shared" si="43"/>
        <v>191946</v>
      </c>
      <c r="P109" s="294">
        <f t="shared" si="44"/>
        <v>0</v>
      </c>
      <c r="Q109" s="294">
        <f t="shared" si="45"/>
        <v>0</v>
      </c>
      <c r="R109" s="294">
        <f t="shared" si="46"/>
        <v>487</v>
      </c>
      <c r="S109" s="294">
        <f t="shared" si="47"/>
        <v>56410</v>
      </c>
      <c r="T109" s="294">
        <f t="shared" si="48"/>
        <v>0</v>
      </c>
      <c r="U109" s="294">
        <f t="shared" si="49"/>
        <v>0</v>
      </c>
      <c r="V109" s="294">
        <f t="shared" si="50"/>
        <v>135049</v>
      </c>
      <c r="W109" s="323">
        <f t="shared" si="51"/>
        <v>191946</v>
      </c>
      <c r="X109" s="294" t="s">
        <v>84</v>
      </c>
    </row>
    <row r="110" spans="2:30" s="294" customFormat="1">
      <c r="B110" s="294" t="s">
        <v>70</v>
      </c>
      <c r="C110" s="294">
        <v>231923</v>
      </c>
      <c r="D110" s="294">
        <v>515176</v>
      </c>
      <c r="E110" s="294">
        <v>687785</v>
      </c>
      <c r="G110" s="294">
        <v>552511</v>
      </c>
      <c r="H110" s="294">
        <v>432703</v>
      </c>
      <c r="I110" s="294">
        <f t="shared" si="43"/>
        <v>2420098</v>
      </c>
      <c r="K110" s="294">
        <v>854</v>
      </c>
      <c r="L110" s="294">
        <v>36480</v>
      </c>
      <c r="M110" s="294">
        <v>526</v>
      </c>
      <c r="O110" s="294">
        <v>120991</v>
      </c>
      <c r="P110" s="294">
        <f t="shared" si="44"/>
        <v>158851</v>
      </c>
      <c r="Q110" s="294">
        <f t="shared" si="45"/>
        <v>231923</v>
      </c>
      <c r="R110" s="294">
        <f t="shared" si="46"/>
        <v>516030</v>
      </c>
      <c r="S110" s="294">
        <f t="shared" si="47"/>
        <v>724265</v>
      </c>
      <c r="T110" s="294">
        <f t="shared" si="48"/>
        <v>526</v>
      </c>
      <c r="U110" s="294">
        <f t="shared" si="49"/>
        <v>552511</v>
      </c>
      <c r="V110" s="294">
        <f t="shared" si="50"/>
        <v>553694</v>
      </c>
      <c r="W110" s="323">
        <f t="shared" si="51"/>
        <v>2578949</v>
      </c>
      <c r="X110" s="294" t="s">
        <v>84</v>
      </c>
    </row>
    <row r="111" spans="2:30" s="294" customFormat="1">
      <c r="B111" s="294" t="s">
        <v>71</v>
      </c>
      <c r="C111" s="294">
        <v>80430</v>
      </c>
      <c r="D111" s="294">
        <v>538843</v>
      </c>
      <c r="E111" s="294">
        <v>693549</v>
      </c>
      <c r="G111" s="294">
        <v>254556</v>
      </c>
      <c r="H111" s="294">
        <v>473109</v>
      </c>
      <c r="I111" s="294">
        <f t="shared" si="43"/>
        <v>2040487</v>
      </c>
      <c r="K111" s="294">
        <v>916</v>
      </c>
      <c r="O111" s="294">
        <v>67959</v>
      </c>
      <c r="P111" s="294">
        <f t="shared" si="44"/>
        <v>68875</v>
      </c>
      <c r="Q111" s="294">
        <f t="shared" si="45"/>
        <v>80430</v>
      </c>
      <c r="R111" s="294">
        <f t="shared" si="46"/>
        <v>539759</v>
      </c>
      <c r="S111" s="294">
        <f t="shared" si="47"/>
        <v>693549</v>
      </c>
      <c r="T111" s="294">
        <f t="shared" si="48"/>
        <v>0</v>
      </c>
      <c r="U111" s="294">
        <f t="shared" si="49"/>
        <v>254556</v>
      </c>
      <c r="V111" s="294">
        <f t="shared" si="50"/>
        <v>541068</v>
      </c>
      <c r="W111" s="323">
        <f t="shared" si="51"/>
        <v>2109362</v>
      </c>
      <c r="X111" s="294" t="s">
        <v>84</v>
      </c>
    </row>
    <row r="112" spans="2:30" s="308" customFormat="1">
      <c r="B112" s="308" t="s">
        <v>63</v>
      </c>
      <c r="C112" s="308">
        <v>72508</v>
      </c>
      <c r="D112" s="308">
        <v>139616</v>
      </c>
      <c r="E112" s="308">
        <v>294909</v>
      </c>
      <c r="F112" s="308">
        <v>156905</v>
      </c>
      <c r="I112" s="308">
        <f t="shared" si="43"/>
        <v>663938</v>
      </c>
      <c r="K112" s="308">
        <v>97</v>
      </c>
      <c r="M112" s="308">
        <v>4403</v>
      </c>
      <c r="P112" s="308">
        <f t="shared" si="44"/>
        <v>4500</v>
      </c>
      <c r="Q112" s="308">
        <f t="shared" si="45"/>
        <v>72508</v>
      </c>
      <c r="R112" s="308">
        <f t="shared" si="46"/>
        <v>139713</v>
      </c>
      <c r="S112" s="308">
        <f t="shared" si="47"/>
        <v>294909</v>
      </c>
      <c r="T112" s="308">
        <f t="shared" si="48"/>
        <v>161308</v>
      </c>
      <c r="U112" s="308">
        <f t="shared" si="49"/>
        <v>0</v>
      </c>
      <c r="V112" s="308">
        <f t="shared" si="50"/>
        <v>0</v>
      </c>
      <c r="W112" s="323">
        <f t="shared" si="51"/>
        <v>668438</v>
      </c>
      <c r="X112" s="308" t="s">
        <v>88</v>
      </c>
    </row>
    <row r="113" spans="2:30" s="308" customFormat="1">
      <c r="B113" s="308" t="s">
        <v>50</v>
      </c>
      <c r="C113" s="308">
        <v>588295</v>
      </c>
      <c r="D113" s="308">
        <v>670438</v>
      </c>
      <c r="E113" s="308">
        <v>286764</v>
      </c>
      <c r="G113" s="308">
        <v>15822</v>
      </c>
      <c r="H113" s="308">
        <v>80976</v>
      </c>
      <c r="I113" s="308">
        <f t="shared" si="43"/>
        <v>1642295</v>
      </c>
      <c r="K113" s="308">
        <v>164855</v>
      </c>
      <c r="L113" s="308">
        <v>64185</v>
      </c>
      <c r="M113" s="308">
        <v>52362</v>
      </c>
      <c r="P113" s="308">
        <f t="shared" si="44"/>
        <v>281402</v>
      </c>
      <c r="Q113" s="308">
        <f t="shared" si="45"/>
        <v>588295</v>
      </c>
      <c r="R113" s="308">
        <f t="shared" si="46"/>
        <v>835293</v>
      </c>
      <c r="S113" s="308">
        <f t="shared" si="47"/>
        <v>350949</v>
      </c>
      <c r="T113" s="308">
        <f t="shared" si="48"/>
        <v>52362</v>
      </c>
      <c r="U113" s="308">
        <f t="shared" si="49"/>
        <v>15822</v>
      </c>
      <c r="V113" s="308">
        <f t="shared" si="50"/>
        <v>80976</v>
      </c>
      <c r="W113" s="323">
        <f t="shared" si="51"/>
        <v>1923697</v>
      </c>
      <c r="X113" s="308" t="s">
        <v>50</v>
      </c>
    </row>
    <row r="114" spans="2:30" s="294" customFormat="1">
      <c r="B114" s="294" t="s">
        <v>142</v>
      </c>
      <c r="C114" s="294">
        <v>579266</v>
      </c>
      <c r="D114" s="294">
        <v>648906</v>
      </c>
      <c r="E114" s="294">
        <v>286764</v>
      </c>
      <c r="G114" s="294">
        <v>15770</v>
      </c>
      <c r="H114" s="294">
        <v>80976</v>
      </c>
      <c r="I114" s="294">
        <f t="shared" si="43"/>
        <v>1611682</v>
      </c>
      <c r="K114" s="294">
        <v>164854</v>
      </c>
      <c r="L114" s="294">
        <v>64185</v>
      </c>
      <c r="M114" s="294">
        <v>52359</v>
      </c>
      <c r="P114" s="294">
        <f t="shared" si="44"/>
        <v>281398</v>
      </c>
      <c r="Q114" s="294">
        <f t="shared" si="45"/>
        <v>579266</v>
      </c>
      <c r="R114" s="294">
        <f t="shared" si="46"/>
        <v>813760</v>
      </c>
      <c r="S114" s="294">
        <f t="shared" si="47"/>
        <v>350949</v>
      </c>
      <c r="T114" s="294">
        <f t="shared" si="48"/>
        <v>52359</v>
      </c>
      <c r="U114" s="294">
        <f t="shared" si="49"/>
        <v>15770</v>
      </c>
      <c r="V114" s="294">
        <f t="shared" si="50"/>
        <v>80976</v>
      </c>
      <c r="W114" s="323">
        <f t="shared" si="51"/>
        <v>1893080</v>
      </c>
      <c r="X114" s="294" t="s">
        <v>50</v>
      </c>
    </row>
    <row r="115" spans="2:30" s="294" customFormat="1">
      <c r="B115" s="294" t="s">
        <v>143</v>
      </c>
      <c r="G115" s="294">
        <v>52</v>
      </c>
      <c r="I115" s="294">
        <f t="shared" si="43"/>
        <v>52</v>
      </c>
      <c r="P115" s="294">
        <f t="shared" si="44"/>
        <v>0</v>
      </c>
      <c r="Q115" s="294">
        <f t="shared" si="45"/>
        <v>0</v>
      </c>
      <c r="R115" s="294">
        <f t="shared" si="46"/>
        <v>0</v>
      </c>
      <c r="S115" s="294">
        <f t="shared" si="47"/>
        <v>0</v>
      </c>
      <c r="T115" s="294">
        <f t="shared" si="48"/>
        <v>0</v>
      </c>
      <c r="U115" s="294">
        <f t="shared" si="49"/>
        <v>52</v>
      </c>
      <c r="V115" s="294">
        <f t="shared" si="50"/>
        <v>0</v>
      </c>
      <c r="W115" s="323">
        <f t="shared" si="51"/>
        <v>52</v>
      </c>
      <c r="X115" s="294" t="s">
        <v>50</v>
      </c>
    </row>
    <row r="116" spans="2:30" s="294" customFormat="1">
      <c r="B116" s="294" t="s">
        <v>144</v>
      </c>
      <c r="C116" s="294">
        <v>9029</v>
      </c>
      <c r="D116" s="294">
        <v>21532</v>
      </c>
      <c r="I116" s="294">
        <f t="shared" si="43"/>
        <v>30561</v>
      </c>
      <c r="K116" s="294">
        <v>1</v>
      </c>
      <c r="M116" s="294">
        <v>3</v>
      </c>
      <c r="P116" s="294">
        <f t="shared" si="44"/>
        <v>4</v>
      </c>
      <c r="Q116" s="294">
        <f t="shared" si="45"/>
        <v>9029</v>
      </c>
      <c r="R116" s="294">
        <f t="shared" si="46"/>
        <v>21533</v>
      </c>
      <c r="S116" s="294">
        <f t="shared" si="47"/>
        <v>0</v>
      </c>
      <c r="T116" s="294">
        <f t="shared" si="48"/>
        <v>3</v>
      </c>
      <c r="U116" s="294">
        <f t="shared" si="49"/>
        <v>0</v>
      </c>
      <c r="V116" s="294">
        <f t="shared" si="50"/>
        <v>0</v>
      </c>
      <c r="W116" s="323">
        <f t="shared" si="51"/>
        <v>30565</v>
      </c>
      <c r="X116" s="294" t="s">
        <v>50</v>
      </c>
      <c r="AD116" s="308"/>
    </row>
    <row r="117" spans="2:30" s="308" customFormat="1">
      <c r="B117" s="308" t="s">
        <v>55</v>
      </c>
      <c r="C117" s="308">
        <v>807071</v>
      </c>
      <c r="D117" s="308">
        <v>237426</v>
      </c>
      <c r="E117" s="308">
        <v>637967</v>
      </c>
      <c r="F117" s="308">
        <v>405909</v>
      </c>
      <c r="G117" s="308">
        <v>35077</v>
      </c>
      <c r="I117" s="308">
        <f t="shared" si="43"/>
        <v>2123450</v>
      </c>
      <c r="J117" s="308">
        <v>11847</v>
      </c>
      <c r="K117" s="308">
        <v>22640</v>
      </c>
      <c r="L117" s="308">
        <v>91383</v>
      </c>
      <c r="M117" s="308">
        <v>43549</v>
      </c>
      <c r="P117" s="308">
        <f t="shared" si="44"/>
        <v>169419</v>
      </c>
      <c r="Q117" s="308">
        <f t="shared" si="45"/>
        <v>818918</v>
      </c>
      <c r="R117" s="308">
        <f t="shared" si="46"/>
        <v>260066</v>
      </c>
      <c r="S117" s="308">
        <f t="shared" si="47"/>
        <v>729350</v>
      </c>
      <c r="T117" s="308">
        <f t="shared" si="48"/>
        <v>449458</v>
      </c>
      <c r="U117" s="308">
        <f t="shared" si="49"/>
        <v>35077</v>
      </c>
      <c r="V117" s="308">
        <f t="shared" si="50"/>
        <v>0</v>
      </c>
      <c r="W117" s="323">
        <f t="shared" si="51"/>
        <v>2292869</v>
      </c>
      <c r="X117" s="308" t="s">
        <v>243</v>
      </c>
    </row>
    <row r="118" spans="2:30" s="294" customFormat="1">
      <c r="B118" s="294" t="s">
        <v>145</v>
      </c>
      <c r="G118" s="294">
        <v>512</v>
      </c>
      <c r="I118" s="294">
        <f t="shared" si="43"/>
        <v>512</v>
      </c>
      <c r="P118" s="294">
        <f t="shared" si="44"/>
        <v>0</v>
      </c>
      <c r="Q118" s="294">
        <f t="shared" si="45"/>
        <v>0</v>
      </c>
      <c r="R118" s="294">
        <f t="shared" si="46"/>
        <v>0</v>
      </c>
      <c r="S118" s="294">
        <f t="shared" si="47"/>
        <v>0</v>
      </c>
      <c r="T118" s="294">
        <f t="shared" si="48"/>
        <v>0</v>
      </c>
      <c r="U118" s="294">
        <f t="shared" si="49"/>
        <v>512</v>
      </c>
      <c r="V118" s="294">
        <f t="shared" si="50"/>
        <v>0</v>
      </c>
      <c r="W118" s="323">
        <f t="shared" si="51"/>
        <v>512</v>
      </c>
      <c r="X118" s="294" t="s">
        <v>243</v>
      </c>
    </row>
    <row r="119" spans="2:30" s="294" customFormat="1">
      <c r="B119" s="294" t="s">
        <v>146</v>
      </c>
      <c r="C119" s="294">
        <v>5356</v>
      </c>
      <c r="E119" s="294">
        <v>46619</v>
      </c>
      <c r="I119" s="294">
        <f t="shared" si="43"/>
        <v>51975</v>
      </c>
      <c r="P119" s="294">
        <f t="shared" si="44"/>
        <v>0</v>
      </c>
      <c r="Q119" s="294">
        <f t="shared" si="45"/>
        <v>5356</v>
      </c>
      <c r="R119" s="294">
        <f t="shared" si="46"/>
        <v>0</v>
      </c>
      <c r="S119" s="294">
        <f t="shared" si="47"/>
        <v>46619</v>
      </c>
      <c r="T119" s="294">
        <f t="shared" si="48"/>
        <v>0</v>
      </c>
      <c r="U119" s="294">
        <f t="shared" si="49"/>
        <v>0</v>
      </c>
      <c r="V119" s="294">
        <f t="shared" si="50"/>
        <v>0</v>
      </c>
      <c r="W119" s="323">
        <f t="shared" si="51"/>
        <v>51975</v>
      </c>
      <c r="X119" s="294" t="s">
        <v>243</v>
      </c>
    </row>
    <row r="120" spans="2:30" s="294" customFormat="1">
      <c r="B120" s="294" t="s">
        <v>147</v>
      </c>
      <c r="C120" s="294">
        <v>801715</v>
      </c>
      <c r="D120" s="294">
        <v>237426</v>
      </c>
      <c r="E120" s="294">
        <v>591348</v>
      </c>
      <c r="F120" s="294">
        <v>405909</v>
      </c>
      <c r="G120" s="294">
        <v>34565</v>
      </c>
      <c r="I120" s="294">
        <f t="shared" si="43"/>
        <v>2070963</v>
      </c>
      <c r="J120" s="294">
        <v>11847</v>
      </c>
      <c r="K120" s="294">
        <v>22640</v>
      </c>
      <c r="L120" s="294">
        <v>91383</v>
      </c>
      <c r="M120" s="294">
        <v>43549</v>
      </c>
      <c r="P120" s="294">
        <f t="shared" si="44"/>
        <v>169419</v>
      </c>
      <c r="Q120" s="294">
        <f t="shared" si="45"/>
        <v>813562</v>
      </c>
      <c r="R120" s="294">
        <f t="shared" si="46"/>
        <v>260066</v>
      </c>
      <c r="S120" s="294">
        <f t="shared" si="47"/>
        <v>682731</v>
      </c>
      <c r="T120" s="294">
        <f t="shared" si="48"/>
        <v>449458</v>
      </c>
      <c r="U120" s="294">
        <f t="shared" si="49"/>
        <v>34565</v>
      </c>
      <c r="V120" s="294">
        <f t="shared" si="50"/>
        <v>0</v>
      </c>
      <c r="W120" s="323">
        <f t="shared" si="51"/>
        <v>2240382</v>
      </c>
      <c r="X120" s="294" t="s">
        <v>243</v>
      </c>
    </row>
    <row r="121" spans="2:30" s="308" customFormat="1">
      <c r="B121" s="308" t="s">
        <v>46</v>
      </c>
      <c r="C121" s="308">
        <v>1896</v>
      </c>
      <c r="D121" s="308">
        <v>1056626</v>
      </c>
      <c r="G121" s="308">
        <v>87118</v>
      </c>
      <c r="H121" s="308">
        <v>51487</v>
      </c>
      <c r="I121" s="308">
        <f t="shared" si="43"/>
        <v>1197127</v>
      </c>
      <c r="K121" s="308">
        <v>238099</v>
      </c>
      <c r="M121" s="308">
        <v>8618</v>
      </c>
      <c r="O121" s="308">
        <v>1134</v>
      </c>
      <c r="P121" s="308">
        <f t="shared" si="44"/>
        <v>247851</v>
      </c>
      <c r="Q121" s="308">
        <f t="shared" si="45"/>
        <v>1896</v>
      </c>
      <c r="R121" s="308">
        <f t="shared" si="46"/>
        <v>1294725</v>
      </c>
      <c r="S121" s="308">
        <f t="shared" si="47"/>
        <v>0</v>
      </c>
      <c r="T121" s="308">
        <f t="shared" si="48"/>
        <v>8618</v>
      </c>
      <c r="U121" s="308">
        <f t="shared" si="49"/>
        <v>87118</v>
      </c>
      <c r="V121" s="308">
        <f t="shared" si="50"/>
        <v>52621</v>
      </c>
      <c r="W121" s="323">
        <f t="shared" si="51"/>
        <v>1444978</v>
      </c>
      <c r="X121" s="308" t="s">
        <v>266</v>
      </c>
    </row>
    <row r="122" spans="2:30" s="294" customFormat="1">
      <c r="B122" s="294" t="s">
        <v>148</v>
      </c>
      <c r="D122" s="294">
        <v>123</v>
      </c>
      <c r="I122" s="294">
        <f t="shared" si="43"/>
        <v>123</v>
      </c>
      <c r="P122" s="294">
        <f t="shared" si="44"/>
        <v>0</v>
      </c>
      <c r="Q122" s="294">
        <f t="shared" si="45"/>
        <v>0</v>
      </c>
      <c r="R122" s="294">
        <f t="shared" si="46"/>
        <v>123</v>
      </c>
      <c r="S122" s="294">
        <f t="shared" si="47"/>
        <v>0</v>
      </c>
      <c r="T122" s="294">
        <f t="shared" si="48"/>
        <v>0</v>
      </c>
      <c r="U122" s="294">
        <f t="shared" si="49"/>
        <v>0</v>
      </c>
      <c r="V122" s="294">
        <f t="shared" si="50"/>
        <v>0</v>
      </c>
      <c r="W122" s="323">
        <f t="shared" si="51"/>
        <v>123</v>
      </c>
      <c r="X122" s="294" t="s">
        <v>266</v>
      </c>
    </row>
    <row r="123" spans="2:30" s="294" customFormat="1">
      <c r="B123" s="294" t="s">
        <v>149</v>
      </c>
      <c r="D123" s="294">
        <v>473827</v>
      </c>
      <c r="I123" s="294">
        <f t="shared" ref="I123:I184" si="52">SUM(C123:H123)</f>
        <v>473827</v>
      </c>
      <c r="K123" s="294">
        <v>4118</v>
      </c>
      <c r="P123" s="294">
        <f t="shared" ref="P123:P184" si="53">SUM(J123:O123)</f>
        <v>4118</v>
      </c>
      <c r="Q123" s="294">
        <f t="shared" ref="Q123:Q184" si="54">C123+J123</f>
        <v>0</v>
      </c>
      <c r="R123" s="294">
        <f t="shared" ref="R123:R184" si="55">D123+K123</f>
        <v>477945</v>
      </c>
      <c r="S123" s="294">
        <f t="shared" ref="S123:S184" si="56">E123+L123</f>
        <v>0</v>
      </c>
      <c r="T123" s="294">
        <f t="shared" ref="T123:T184" si="57">F123+M123</f>
        <v>0</v>
      </c>
      <c r="U123" s="294">
        <f t="shared" ref="U123:U184" si="58">G123+N123</f>
        <v>0</v>
      </c>
      <c r="V123" s="294">
        <f t="shared" ref="V123:V184" si="59">H123+O123</f>
        <v>0</v>
      </c>
      <c r="W123" s="323">
        <f t="shared" ref="W123:W183" si="60">SUM(Q123:V123)</f>
        <v>477945</v>
      </c>
      <c r="X123" s="294" t="s">
        <v>266</v>
      </c>
    </row>
    <row r="124" spans="2:30" s="294" customFormat="1">
      <c r="B124" s="294" t="s">
        <v>150</v>
      </c>
      <c r="C124" s="294">
        <v>1884</v>
      </c>
      <c r="I124" s="294">
        <f t="shared" si="52"/>
        <v>1884</v>
      </c>
      <c r="P124" s="294">
        <f t="shared" si="53"/>
        <v>0</v>
      </c>
      <c r="Q124" s="294">
        <f t="shared" si="54"/>
        <v>1884</v>
      </c>
      <c r="R124" s="294">
        <f t="shared" si="55"/>
        <v>0</v>
      </c>
      <c r="S124" s="294">
        <f t="shared" si="56"/>
        <v>0</v>
      </c>
      <c r="T124" s="294">
        <f t="shared" si="57"/>
        <v>0</v>
      </c>
      <c r="U124" s="294">
        <f t="shared" si="58"/>
        <v>0</v>
      </c>
      <c r="V124" s="294">
        <f t="shared" si="59"/>
        <v>0</v>
      </c>
      <c r="W124" s="323">
        <f t="shared" si="60"/>
        <v>1884</v>
      </c>
      <c r="X124" s="294" t="s">
        <v>266</v>
      </c>
    </row>
    <row r="125" spans="2:30" s="294" customFormat="1">
      <c r="B125" s="294" t="s">
        <v>151</v>
      </c>
      <c r="D125" s="294">
        <v>945</v>
      </c>
      <c r="I125" s="294">
        <f t="shared" si="52"/>
        <v>945</v>
      </c>
      <c r="K125" s="294">
        <v>55</v>
      </c>
      <c r="P125" s="294">
        <f t="shared" si="53"/>
        <v>55</v>
      </c>
      <c r="Q125" s="294">
        <f t="shared" si="54"/>
        <v>0</v>
      </c>
      <c r="R125" s="294">
        <f t="shared" si="55"/>
        <v>1000</v>
      </c>
      <c r="S125" s="294">
        <f t="shared" si="56"/>
        <v>0</v>
      </c>
      <c r="T125" s="294">
        <f t="shared" si="57"/>
        <v>0</v>
      </c>
      <c r="U125" s="294">
        <f t="shared" si="58"/>
        <v>0</v>
      </c>
      <c r="V125" s="294">
        <f t="shared" si="59"/>
        <v>0</v>
      </c>
      <c r="W125" s="323">
        <f t="shared" si="60"/>
        <v>1000</v>
      </c>
      <c r="X125" s="294" t="s">
        <v>266</v>
      </c>
    </row>
    <row r="126" spans="2:30" s="294" customFormat="1">
      <c r="B126" s="294" t="s">
        <v>152</v>
      </c>
      <c r="I126" s="294">
        <f t="shared" si="52"/>
        <v>0</v>
      </c>
      <c r="P126" s="294">
        <f t="shared" si="53"/>
        <v>0</v>
      </c>
      <c r="Q126" s="294">
        <f t="shared" si="54"/>
        <v>0</v>
      </c>
      <c r="R126" s="294">
        <f t="shared" si="55"/>
        <v>0</v>
      </c>
      <c r="S126" s="294">
        <f t="shared" si="56"/>
        <v>0</v>
      </c>
      <c r="T126" s="294">
        <f t="shared" si="57"/>
        <v>0</v>
      </c>
      <c r="U126" s="294">
        <f t="shared" si="58"/>
        <v>0</v>
      </c>
      <c r="V126" s="294">
        <f t="shared" si="59"/>
        <v>0</v>
      </c>
      <c r="W126" s="323">
        <f t="shared" si="60"/>
        <v>0</v>
      </c>
      <c r="X126" s="294" t="s">
        <v>266</v>
      </c>
    </row>
    <row r="127" spans="2:30" s="294" customFormat="1">
      <c r="B127" s="294" t="s">
        <v>153</v>
      </c>
      <c r="C127" s="294">
        <v>12</v>
      </c>
      <c r="D127" s="294">
        <v>581731</v>
      </c>
      <c r="G127" s="294">
        <v>87118</v>
      </c>
      <c r="I127" s="294">
        <f t="shared" si="52"/>
        <v>668861</v>
      </c>
      <c r="K127" s="294">
        <v>233926</v>
      </c>
      <c r="M127" s="294">
        <v>8618</v>
      </c>
      <c r="P127" s="294">
        <f t="shared" si="53"/>
        <v>242544</v>
      </c>
      <c r="Q127" s="294">
        <f t="shared" si="54"/>
        <v>12</v>
      </c>
      <c r="R127" s="294">
        <f t="shared" si="55"/>
        <v>815657</v>
      </c>
      <c r="S127" s="294">
        <f t="shared" si="56"/>
        <v>0</v>
      </c>
      <c r="T127" s="294">
        <f t="shared" si="57"/>
        <v>8618</v>
      </c>
      <c r="U127" s="294">
        <f t="shared" si="58"/>
        <v>87118</v>
      </c>
      <c r="V127" s="294">
        <f t="shared" si="59"/>
        <v>0</v>
      </c>
      <c r="W127" s="323">
        <f t="shared" si="60"/>
        <v>911405</v>
      </c>
      <c r="X127" s="294" t="s">
        <v>266</v>
      </c>
    </row>
    <row r="128" spans="2:30" s="294" customFormat="1">
      <c r="B128" s="294" t="s">
        <v>154</v>
      </c>
      <c r="H128" s="294">
        <v>51487</v>
      </c>
      <c r="I128" s="294">
        <f t="shared" si="52"/>
        <v>51487</v>
      </c>
      <c r="O128" s="294">
        <v>1134</v>
      </c>
      <c r="P128" s="294">
        <f t="shared" si="53"/>
        <v>1134</v>
      </c>
      <c r="Q128" s="294">
        <f t="shared" si="54"/>
        <v>0</v>
      </c>
      <c r="R128" s="294">
        <f t="shared" si="55"/>
        <v>0</v>
      </c>
      <c r="S128" s="294">
        <f t="shared" si="56"/>
        <v>0</v>
      </c>
      <c r="T128" s="294">
        <f t="shared" si="57"/>
        <v>0</v>
      </c>
      <c r="U128" s="294">
        <f t="shared" si="58"/>
        <v>0</v>
      </c>
      <c r="V128" s="294">
        <f t="shared" si="59"/>
        <v>52621</v>
      </c>
      <c r="W128" s="323">
        <f t="shared" si="60"/>
        <v>52621</v>
      </c>
      <c r="X128" s="294" t="s">
        <v>266</v>
      </c>
    </row>
    <row r="129" spans="2:24" s="308" customFormat="1">
      <c r="B129" s="308" t="s">
        <v>45</v>
      </c>
      <c r="C129" s="308">
        <v>1066940</v>
      </c>
      <c r="D129" s="308">
        <v>113888</v>
      </c>
      <c r="G129" s="308">
        <v>48063</v>
      </c>
      <c r="I129" s="308">
        <f t="shared" si="52"/>
        <v>1228891</v>
      </c>
      <c r="J129" s="308">
        <v>463284</v>
      </c>
      <c r="K129" s="308">
        <v>65</v>
      </c>
      <c r="M129" s="308">
        <v>11</v>
      </c>
      <c r="P129" s="308">
        <f t="shared" si="53"/>
        <v>463360</v>
      </c>
      <c r="Q129" s="308">
        <f t="shared" si="54"/>
        <v>1530224</v>
      </c>
      <c r="R129" s="308">
        <f t="shared" si="55"/>
        <v>113953</v>
      </c>
      <c r="S129" s="308">
        <f t="shared" si="56"/>
        <v>0</v>
      </c>
      <c r="T129" s="308">
        <f t="shared" si="57"/>
        <v>11</v>
      </c>
      <c r="U129" s="308">
        <f t="shared" si="58"/>
        <v>48063</v>
      </c>
      <c r="V129" s="308">
        <f t="shared" si="59"/>
        <v>0</v>
      </c>
      <c r="W129" s="323">
        <f t="shared" si="60"/>
        <v>1692251</v>
      </c>
      <c r="X129" s="308" t="s">
        <v>230</v>
      </c>
    </row>
    <row r="130" spans="2:24" s="294" customFormat="1">
      <c r="B130" s="294" t="s">
        <v>155</v>
      </c>
      <c r="C130" s="294">
        <v>49812</v>
      </c>
      <c r="I130" s="294">
        <f t="shared" si="52"/>
        <v>49812</v>
      </c>
      <c r="P130" s="294">
        <f t="shared" si="53"/>
        <v>0</v>
      </c>
      <c r="Q130" s="294">
        <f t="shared" si="54"/>
        <v>49812</v>
      </c>
      <c r="R130" s="294">
        <f t="shared" si="55"/>
        <v>0</v>
      </c>
      <c r="S130" s="294">
        <f t="shared" si="56"/>
        <v>0</v>
      </c>
      <c r="T130" s="294">
        <f t="shared" si="57"/>
        <v>0</v>
      </c>
      <c r="U130" s="294">
        <f t="shared" si="58"/>
        <v>0</v>
      </c>
      <c r="V130" s="294">
        <f t="shared" si="59"/>
        <v>0</v>
      </c>
      <c r="W130" s="323">
        <f t="shared" si="60"/>
        <v>49812</v>
      </c>
      <c r="X130" s="294" t="s">
        <v>230</v>
      </c>
    </row>
    <row r="131" spans="2:24" s="294" customFormat="1">
      <c r="B131" s="294" t="s">
        <v>156</v>
      </c>
      <c r="C131" s="294">
        <v>10729</v>
      </c>
      <c r="I131" s="294">
        <f t="shared" si="52"/>
        <v>10729</v>
      </c>
      <c r="P131" s="294">
        <f t="shared" si="53"/>
        <v>0</v>
      </c>
      <c r="Q131" s="294">
        <f t="shared" si="54"/>
        <v>10729</v>
      </c>
      <c r="R131" s="294">
        <f t="shared" si="55"/>
        <v>0</v>
      </c>
      <c r="S131" s="294">
        <f t="shared" si="56"/>
        <v>0</v>
      </c>
      <c r="T131" s="294">
        <f t="shared" si="57"/>
        <v>0</v>
      </c>
      <c r="U131" s="294">
        <f t="shared" si="58"/>
        <v>0</v>
      </c>
      <c r="V131" s="294">
        <f t="shared" si="59"/>
        <v>0</v>
      </c>
      <c r="W131" s="323">
        <f t="shared" si="60"/>
        <v>10729</v>
      </c>
      <c r="X131" s="294" t="s">
        <v>230</v>
      </c>
    </row>
    <row r="132" spans="2:24" s="294" customFormat="1">
      <c r="B132" s="294" t="s">
        <v>157</v>
      </c>
      <c r="I132" s="294">
        <f t="shared" si="52"/>
        <v>0</v>
      </c>
      <c r="P132" s="294">
        <f t="shared" si="53"/>
        <v>0</v>
      </c>
      <c r="Q132" s="294">
        <f t="shared" si="54"/>
        <v>0</v>
      </c>
      <c r="R132" s="294">
        <f t="shared" si="55"/>
        <v>0</v>
      </c>
      <c r="S132" s="294">
        <f t="shared" si="56"/>
        <v>0</v>
      </c>
      <c r="T132" s="294">
        <f t="shared" si="57"/>
        <v>0</v>
      </c>
      <c r="U132" s="294">
        <f t="shared" si="58"/>
        <v>0</v>
      </c>
      <c r="V132" s="294">
        <f t="shared" si="59"/>
        <v>0</v>
      </c>
      <c r="W132" s="323">
        <f t="shared" si="60"/>
        <v>0</v>
      </c>
      <c r="X132" s="294" t="s">
        <v>230</v>
      </c>
    </row>
    <row r="133" spans="2:24" s="294" customFormat="1">
      <c r="B133" s="294" t="s">
        <v>158</v>
      </c>
      <c r="C133" s="294">
        <v>4681</v>
      </c>
      <c r="I133" s="294">
        <f t="shared" si="52"/>
        <v>4681</v>
      </c>
      <c r="P133" s="294">
        <f t="shared" si="53"/>
        <v>0</v>
      </c>
      <c r="Q133" s="294">
        <f t="shared" si="54"/>
        <v>4681</v>
      </c>
      <c r="R133" s="294">
        <f t="shared" si="55"/>
        <v>0</v>
      </c>
      <c r="S133" s="294">
        <f t="shared" si="56"/>
        <v>0</v>
      </c>
      <c r="T133" s="294">
        <f t="shared" si="57"/>
        <v>0</v>
      </c>
      <c r="U133" s="294">
        <f t="shared" si="58"/>
        <v>0</v>
      </c>
      <c r="V133" s="294">
        <f t="shared" si="59"/>
        <v>0</v>
      </c>
      <c r="W133" s="323">
        <f t="shared" si="60"/>
        <v>4681</v>
      </c>
      <c r="X133" s="294" t="s">
        <v>230</v>
      </c>
    </row>
    <row r="134" spans="2:24" s="294" customFormat="1">
      <c r="B134" s="294" t="s">
        <v>159</v>
      </c>
      <c r="C134" s="294">
        <v>28662</v>
      </c>
      <c r="I134" s="294">
        <f t="shared" si="52"/>
        <v>28662</v>
      </c>
      <c r="J134" s="294">
        <v>30069</v>
      </c>
      <c r="K134" s="294">
        <v>54</v>
      </c>
      <c r="P134" s="294">
        <f t="shared" si="53"/>
        <v>30123</v>
      </c>
      <c r="Q134" s="294">
        <f t="shared" si="54"/>
        <v>58731</v>
      </c>
      <c r="R134" s="294">
        <f t="shared" si="55"/>
        <v>54</v>
      </c>
      <c r="S134" s="294">
        <f t="shared" si="56"/>
        <v>0</v>
      </c>
      <c r="T134" s="294">
        <f t="shared" si="57"/>
        <v>0</v>
      </c>
      <c r="U134" s="294">
        <f t="shared" si="58"/>
        <v>0</v>
      </c>
      <c r="V134" s="294">
        <f t="shared" si="59"/>
        <v>0</v>
      </c>
      <c r="W134" s="323">
        <f t="shared" si="60"/>
        <v>58785</v>
      </c>
      <c r="X134" s="294" t="s">
        <v>230</v>
      </c>
    </row>
    <row r="135" spans="2:24" s="294" customFormat="1">
      <c r="B135" s="294" t="s">
        <v>160</v>
      </c>
      <c r="C135" s="294">
        <v>70204</v>
      </c>
      <c r="D135" s="294">
        <v>113888</v>
      </c>
      <c r="G135" s="294">
        <v>48063</v>
      </c>
      <c r="I135" s="294">
        <f t="shared" si="52"/>
        <v>232155</v>
      </c>
      <c r="K135" s="294">
        <v>11</v>
      </c>
      <c r="M135" s="294">
        <v>11</v>
      </c>
      <c r="P135" s="294">
        <f t="shared" si="53"/>
        <v>22</v>
      </c>
      <c r="Q135" s="294">
        <f t="shared" si="54"/>
        <v>70204</v>
      </c>
      <c r="R135" s="294">
        <f t="shared" si="55"/>
        <v>113899</v>
      </c>
      <c r="S135" s="294">
        <f t="shared" si="56"/>
        <v>0</v>
      </c>
      <c r="T135" s="294">
        <f t="shared" si="57"/>
        <v>11</v>
      </c>
      <c r="U135" s="294">
        <f t="shared" si="58"/>
        <v>48063</v>
      </c>
      <c r="V135" s="294">
        <f t="shared" si="59"/>
        <v>0</v>
      </c>
      <c r="W135" s="323">
        <f t="shared" si="60"/>
        <v>232177</v>
      </c>
      <c r="X135" s="294" t="s">
        <v>230</v>
      </c>
    </row>
    <row r="136" spans="2:24" s="294" customFormat="1">
      <c r="B136" s="294" t="s">
        <v>161</v>
      </c>
      <c r="C136" s="294">
        <v>3979</v>
      </c>
      <c r="I136" s="294">
        <f t="shared" si="52"/>
        <v>3979</v>
      </c>
      <c r="P136" s="294">
        <f t="shared" si="53"/>
        <v>0</v>
      </c>
      <c r="Q136" s="294">
        <f t="shared" si="54"/>
        <v>3979</v>
      </c>
      <c r="R136" s="294">
        <f t="shared" si="55"/>
        <v>0</v>
      </c>
      <c r="S136" s="294">
        <f t="shared" si="56"/>
        <v>0</v>
      </c>
      <c r="T136" s="294">
        <f t="shared" si="57"/>
        <v>0</v>
      </c>
      <c r="U136" s="294">
        <f t="shared" si="58"/>
        <v>0</v>
      </c>
      <c r="V136" s="294">
        <f t="shared" si="59"/>
        <v>0</v>
      </c>
      <c r="W136" s="323">
        <f t="shared" si="60"/>
        <v>3979</v>
      </c>
      <c r="X136" s="294" t="s">
        <v>230</v>
      </c>
    </row>
    <row r="137" spans="2:24" s="294" customFormat="1">
      <c r="B137" s="294" t="s">
        <v>162</v>
      </c>
      <c r="C137" s="294">
        <v>173986</v>
      </c>
      <c r="I137" s="294">
        <f t="shared" si="52"/>
        <v>173986</v>
      </c>
      <c r="P137" s="294">
        <f t="shared" si="53"/>
        <v>0</v>
      </c>
      <c r="Q137" s="294">
        <f t="shared" si="54"/>
        <v>173986</v>
      </c>
      <c r="R137" s="294">
        <f t="shared" si="55"/>
        <v>0</v>
      </c>
      <c r="S137" s="294">
        <f t="shared" si="56"/>
        <v>0</v>
      </c>
      <c r="T137" s="294">
        <f t="shared" si="57"/>
        <v>0</v>
      </c>
      <c r="U137" s="294">
        <f t="shared" si="58"/>
        <v>0</v>
      </c>
      <c r="V137" s="294">
        <f t="shared" si="59"/>
        <v>0</v>
      </c>
      <c r="W137" s="323">
        <f t="shared" si="60"/>
        <v>173986</v>
      </c>
      <c r="X137" s="294" t="s">
        <v>230</v>
      </c>
    </row>
    <row r="138" spans="2:24" s="294" customFormat="1">
      <c r="B138" s="294" t="s">
        <v>163</v>
      </c>
      <c r="C138" s="294">
        <v>724887</v>
      </c>
      <c r="I138" s="294">
        <f t="shared" si="52"/>
        <v>724887</v>
      </c>
      <c r="J138" s="294">
        <v>419669</v>
      </c>
      <c r="P138" s="294">
        <f t="shared" si="53"/>
        <v>419669</v>
      </c>
      <c r="Q138" s="294">
        <f t="shared" si="54"/>
        <v>1144556</v>
      </c>
      <c r="R138" s="294">
        <f t="shared" si="55"/>
        <v>0</v>
      </c>
      <c r="S138" s="294">
        <f t="shared" si="56"/>
        <v>0</v>
      </c>
      <c r="T138" s="294">
        <f t="shared" si="57"/>
        <v>0</v>
      </c>
      <c r="U138" s="294">
        <f t="shared" si="58"/>
        <v>0</v>
      </c>
      <c r="V138" s="294">
        <f t="shared" si="59"/>
        <v>0</v>
      </c>
      <c r="W138" s="323">
        <f t="shared" si="60"/>
        <v>1144556</v>
      </c>
      <c r="X138" s="294" t="s">
        <v>230</v>
      </c>
    </row>
    <row r="139" spans="2:24" s="294" customFormat="1">
      <c r="B139" s="294" t="s">
        <v>164</v>
      </c>
      <c r="I139" s="294">
        <f t="shared" si="52"/>
        <v>0</v>
      </c>
      <c r="J139" s="294">
        <v>13546</v>
      </c>
      <c r="P139" s="294">
        <f t="shared" si="53"/>
        <v>13546</v>
      </c>
      <c r="Q139" s="294">
        <f t="shared" si="54"/>
        <v>13546</v>
      </c>
      <c r="R139" s="294">
        <f t="shared" si="55"/>
        <v>0</v>
      </c>
      <c r="S139" s="294">
        <f t="shared" si="56"/>
        <v>0</v>
      </c>
      <c r="T139" s="294">
        <f t="shared" si="57"/>
        <v>0</v>
      </c>
      <c r="U139" s="294">
        <f t="shared" si="58"/>
        <v>0</v>
      </c>
      <c r="V139" s="294">
        <f t="shared" si="59"/>
        <v>0</v>
      </c>
      <c r="W139" s="323">
        <f t="shared" si="60"/>
        <v>13546</v>
      </c>
      <c r="X139" s="294" t="s">
        <v>230</v>
      </c>
    </row>
    <row r="140" spans="2:24" s="308" customFormat="1">
      <c r="B140" s="308" t="s">
        <v>253</v>
      </c>
      <c r="C140" s="308">
        <v>67650</v>
      </c>
      <c r="D140" s="308">
        <v>2058735</v>
      </c>
      <c r="E140" s="308">
        <v>924116</v>
      </c>
      <c r="G140" s="308">
        <v>19523</v>
      </c>
      <c r="H140" s="308">
        <v>9246</v>
      </c>
      <c r="I140" s="308">
        <f t="shared" si="52"/>
        <v>3079270</v>
      </c>
      <c r="K140" s="308">
        <v>485332</v>
      </c>
      <c r="L140" s="308">
        <v>649918</v>
      </c>
      <c r="M140" s="308">
        <v>35877</v>
      </c>
      <c r="O140" s="308">
        <v>566</v>
      </c>
      <c r="P140" s="308">
        <f t="shared" si="53"/>
        <v>1171693</v>
      </c>
      <c r="Q140" s="308">
        <f t="shared" si="54"/>
        <v>67650</v>
      </c>
      <c r="R140" s="308">
        <f t="shared" si="55"/>
        <v>2544067</v>
      </c>
      <c r="S140" s="308">
        <f t="shared" si="56"/>
        <v>1574034</v>
      </c>
      <c r="T140" s="308">
        <f t="shared" si="57"/>
        <v>35877</v>
      </c>
      <c r="U140" s="308">
        <f t="shared" si="58"/>
        <v>19523</v>
      </c>
      <c r="V140" s="308">
        <f t="shared" si="59"/>
        <v>9812</v>
      </c>
      <c r="W140" s="323">
        <f t="shared" si="60"/>
        <v>4250963</v>
      </c>
      <c r="X140" s="308" t="s">
        <v>253</v>
      </c>
    </row>
    <row r="141" spans="2:24" s="294" customFormat="1">
      <c r="B141" s="294" t="s">
        <v>165</v>
      </c>
      <c r="I141" s="294">
        <f t="shared" si="52"/>
        <v>0</v>
      </c>
      <c r="M141" s="294">
        <v>2646</v>
      </c>
      <c r="P141" s="294">
        <f t="shared" si="53"/>
        <v>2646</v>
      </c>
      <c r="Q141" s="294">
        <f t="shared" si="54"/>
        <v>0</v>
      </c>
      <c r="R141" s="294">
        <f t="shared" si="55"/>
        <v>0</v>
      </c>
      <c r="S141" s="294">
        <f t="shared" si="56"/>
        <v>0</v>
      </c>
      <c r="T141" s="294">
        <f t="shared" si="57"/>
        <v>2646</v>
      </c>
      <c r="U141" s="294">
        <f t="shared" si="58"/>
        <v>0</v>
      </c>
      <c r="V141" s="294">
        <f t="shared" si="59"/>
        <v>0</v>
      </c>
      <c r="W141" s="323">
        <f t="shared" si="60"/>
        <v>2646</v>
      </c>
      <c r="X141" s="294" t="s">
        <v>253</v>
      </c>
    </row>
    <row r="142" spans="2:24" s="294" customFormat="1">
      <c r="B142" s="294" t="s">
        <v>166</v>
      </c>
      <c r="D142" s="294">
        <v>32852</v>
      </c>
      <c r="E142" s="294">
        <v>12845</v>
      </c>
      <c r="I142" s="294">
        <f t="shared" si="52"/>
        <v>45697</v>
      </c>
      <c r="K142" s="294">
        <v>448</v>
      </c>
      <c r="M142" s="294">
        <v>1627</v>
      </c>
      <c r="P142" s="294">
        <f t="shared" si="53"/>
        <v>2075</v>
      </c>
      <c r="Q142" s="294">
        <f t="shared" si="54"/>
        <v>0</v>
      </c>
      <c r="R142" s="294">
        <f t="shared" si="55"/>
        <v>33300</v>
      </c>
      <c r="S142" s="294">
        <f t="shared" si="56"/>
        <v>12845</v>
      </c>
      <c r="T142" s="294">
        <f t="shared" si="57"/>
        <v>1627</v>
      </c>
      <c r="U142" s="294">
        <f t="shared" si="58"/>
        <v>0</v>
      </c>
      <c r="V142" s="294">
        <f t="shared" si="59"/>
        <v>0</v>
      </c>
      <c r="W142" s="323">
        <f t="shared" si="60"/>
        <v>47772</v>
      </c>
      <c r="X142" s="294" t="s">
        <v>253</v>
      </c>
    </row>
    <row r="143" spans="2:24" s="294" customFormat="1">
      <c r="B143" s="294" t="s">
        <v>167</v>
      </c>
      <c r="D143" s="294">
        <v>101</v>
      </c>
      <c r="E143" s="294">
        <v>112713</v>
      </c>
      <c r="I143" s="294">
        <f t="shared" si="52"/>
        <v>112814</v>
      </c>
      <c r="L143" s="294">
        <v>20139</v>
      </c>
      <c r="M143" s="294">
        <v>22</v>
      </c>
      <c r="P143" s="294">
        <f t="shared" si="53"/>
        <v>20161</v>
      </c>
      <c r="Q143" s="294">
        <f t="shared" si="54"/>
        <v>0</v>
      </c>
      <c r="R143" s="294">
        <f t="shared" si="55"/>
        <v>101</v>
      </c>
      <c r="S143" s="294">
        <f t="shared" si="56"/>
        <v>132852</v>
      </c>
      <c r="T143" s="294">
        <f t="shared" si="57"/>
        <v>22</v>
      </c>
      <c r="U143" s="294">
        <f t="shared" si="58"/>
        <v>0</v>
      </c>
      <c r="V143" s="294">
        <f t="shared" si="59"/>
        <v>0</v>
      </c>
      <c r="W143" s="323">
        <f t="shared" si="60"/>
        <v>132975</v>
      </c>
      <c r="X143" s="294" t="s">
        <v>253</v>
      </c>
    </row>
    <row r="144" spans="2:24" s="294" customFormat="1">
      <c r="B144" s="294" t="s">
        <v>168</v>
      </c>
      <c r="C144" s="294">
        <v>25284</v>
      </c>
      <c r="D144" s="294">
        <v>379737</v>
      </c>
      <c r="G144" s="294">
        <v>6066</v>
      </c>
      <c r="H144" s="294">
        <v>39</v>
      </c>
      <c r="I144" s="294">
        <f t="shared" si="52"/>
        <v>411126</v>
      </c>
      <c r="K144" s="294">
        <v>131001</v>
      </c>
      <c r="M144" s="294">
        <v>4878</v>
      </c>
      <c r="P144" s="294">
        <f t="shared" si="53"/>
        <v>135879</v>
      </c>
      <c r="Q144" s="294">
        <f t="shared" si="54"/>
        <v>25284</v>
      </c>
      <c r="R144" s="294">
        <f t="shared" si="55"/>
        <v>510738</v>
      </c>
      <c r="S144" s="294">
        <f t="shared" si="56"/>
        <v>0</v>
      </c>
      <c r="T144" s="294">
        <f t="shared" si="57"/>
        <v>4878</v>
      </c>
      <c r="U144" s="294">
        <f t="shared" si="58"/>
        <v>6066</v>
      </c>
      <c r="V144" s="294">
        <f t="shared" si="59"/>
        <v>39</v>
      </c>
      <c r="W144" s="323">
        <f t="shared" si="60"/>
        <v>547005</v>
      </c>
      <c r="X144" s="294" t="s">
        <v>253</v>
      </c>
    </row>
    <row r="145" spans="2:24" s="294" customFormat="1">
      <c r="B145" s="294" t="s">
        <v>169</v>
      </c>
      <c r="D145" s="294">
        <v>212</v>
      </c>
      <c r="E145" s="294">
        <v>190795</v>
      </c>
      <c r="I145" s="294">
        <f t="shared" si="52"/>
        <v>191007</v>
      </c>
      <c r="K145" s="294">
        <v>2</v>
      </c>
      <c r="M145" s="294">
        <v>433</v>
      </c>
      <c r="P145" s="294">
        <f t="shared" si="53"/>
        <v>435</v>
      </c>
      <c r="Q145" s="294">
        <f t="shared" si="54"/>
        <v>0</v>
      </c>
      <c r="R145" s="294">
        <f t="shared" si="55"/>
        <v>214</v>
      </c>
      <c r="S145" s="294">
        <f t="shared" si="56"/>
        <v>190795</v>
      </c>
      <c r="T145" s="294">
        <f t="shared" si="57"/>
        <v>433</v>
      </c>
      <c r="U145" s="294">
        <f t="shared" si="58"/>
        <v>0</v>
      </c>
      <c r="V145" s="294">
        <f t="shared" si="59"/>
        <v>0</v>
      </c>
      <c r="W145" s="323">
        <f t="shared" si="60"/>
        <v>191442</v>
      </c>
      <c r="X145" s="294" t="s">
        <v>253</v>
      </c>
    </row>
    <row r="146" spans="2:24" s="294" customFormat="1">
      <c r="B146" s="294" t="s">
        <v>170</v>
      </c>
      <c r="C146" s="294">
        <v>519</v>
      </c>
      <c r="D146" s="294">
        <v>49857</v>
      </c>
      <c r="H146" s="294">
        <v>88</v>
      </c>
      <c r="I146" s="294">
        <f t="shared" si="52"/>
        <v>50464</v>
      </c>
      <c r="K146" s="294">
        <v>253</v>
      </c>
      <c r="M146" s="294">
        <v>790</v>
      </c>
      <c r="P146" s="294">
        <f t="shared" si="53"/>
        <v>1043</v>
      </c>
      <c r="Q146" s="294">
        <f t="shared" si="54"/>
        <v>519</v>
      </c>
      <c r="R146" s="294">
        <f t="shared" si="55"/>
        <v>50110</v>
      </c>
      <c r="S146" s="294">
        <f t="shared" si="56"/>
        <v>0</v>
      </c>
      <c r="T146" s="294">
        <f t="shared" si="57"/>
        <v>790</v>
      </c>
      <c r="U146" s="294">
        <f t="shared" si="58"/>
        <v>0</v>
      </c>
      <c r="V146" s="294">
        <f t="shared" si="59"/>
        <v>88</v>
      </c>
      <c r="W146" s="323">
        <f t="shared" si="60"/>
        <v>51507</v>
      </c>
      <c r="X146" s="294" t="s">
        <v>253</v>
      </c>
    </row>
    <row r="147" spans="2:24" s="294" customFormat="1">
      <c r="B147" s="294" t="s">
        <v>171</v>
      </c>
      <c r="D147" s="294">
        <v>393163</v>
      </c>
      <c r="E147" s="294">
        <v>915</v>
      </c>
      <c r="I147" s="294">
        <f t="shared" si="52"/>
        <v>394078</v>
      </c>
      <c r="P147" s="294">
        <f t="shared" si="53"/>
        <v>0</v>
      </c>
      <c r="Q147" s="294">
        <f t="shared" si="54"/>
        <v>0</v>
      </c>
      <c r="R147" s="294">
        <f t="shared" si="55"/>
        <v>393163</v>
      </c>
      <c r="S147" s="294">
        <f t="shared" si="56"/>
        <v>915</v>
      </c>
      <c r="T147" s="294">
        <f t="shared" si="57"/>
        <v>0</v>
      </c>
      <c r="U147" s="294">
        <f t="shared" si="58"/>
        <v>0</v>
      </c>
      <c r="V147" s="294">
        <f t="shared" si="59"/>
        <v>0</v>
      </c>
      <c r="W147" s="323">
        <f t="shared" si="60"/>
        <v>394078</v>
      </c>
      <c r="X147" s="294" t="s">
        <v>253</v>
      </c>
    </row>
    <row r="148" spans="2:24" s="294" customFormat="1">
      <c r="B148" s="294" t="s">
        <v>172</v>
      </c>
      <c r="C148" s="294">
        <v>9100</v>
      </c>
      <c r="I148" s="294">
        <f t="shared" si="52"/>
        <v>9100</v>
      </c>
      <c r="K148" s="294">
        <v>114525</v>
      </c>
      <c r="M148" s="294">
        <v>5768</v>
      </c>
      <c r="P148" s="294">
        <f t="shared" si="53"/>
        <v>120293</v>
      </c>
      <c r="Q148" s="294">
        <f t="shared" si="54"/>
        <v>9100</v>
      </c>
      <c r="R148" s="294">
        <f t="shared" si="55"/>
        <v>114525</v>
      </c>
      <c r="S148" s="294">
        <f t="shared" si="56"/>
        <v>0</v>
      </c>
      <c r="T148" s="294">
        <f t="shared" si="57"/>
        <v>5768</v>
      </c>
      <c r="U148" s="294">
        <f t="shared" si="58"/>
        <v>0</v>
      </c>
      <c r="V148" s="294">
        <f t="shared" si="59"/>
        <v>0</v>
      </c>
      <c r="W148" s="323">
        <f t="shared" si="60"/>
        <v>129393</v>
      </c>
      <c r="X148" s="294" t="s">
        <v>253</v>
      </c>
    </row>
    <row r="149" spans="2:24" s="294" customFormat="1">
      <c r="B149" s="294" t="s">
        <v>173</v>
      </c>
      <c r="I149" s="294">
        <f t="shared" si="52"/>
        <v>0</v>
      </c>
      <c r="P149" s="294">
        <f t="shared" si="53"/>
        <v>0</v>
      </c>
      <c r="Q149" s="294">
        <f t="shared" si="54"/>
        <v>0</v>
      </c>
      <c r="R149" s="294">
        <f t="shared" si="55"/>
        <v>0</v>
      </c>
      <c r="S149" s="294">
        <f t="shared" si="56"/>
        <v>0</v>
      </c>
      <c r="T149" s="294">
        <f t="shared" si="57"/>
        <v>0</v>
      </c>
      <c r="U149" s="294">
        <f t="shared" si="58"/>
        <v>0</v>
      </c>
      <c r="V149" s="294">
        <f t="shared" si="59"/>
        <v>0</v>
      </c>
      <c r="W149" s="323">
        <f t="shared" si="60"/>
        <v>0</v>
      </c>
      <c r="X149" s="294" t="s">
        <v>253</v>
      </c>
    </row>
    <row r="150" spans="2:24" s="294" customFormat="1">
      <c r="B150" s="294" t="s">
        <v>174</v>
      </c>
      <c r="C150" s="294">
        <v>3620</v>
      </c>
      <c r="D150" s="294">
        <v>103528</v>
      </c>
      <c r="E150" s="294">
        <v>606759</v>
      </c>
      <c r="G150" s="294">
        <v>13370</v>
      </c>
      <c r="H150" s="294">
        <v>6600</v>
      </c>
      <c r="I150" s="294">
        <f t="shared" si="52"/>
        <v>733877</v>
      </c>
      <c r="K150" s="294">
        <v>3262</v>
      </c>
      <c r="L150" s="294">
        <v>77855</v>
      </c>
      <c r="M150" s="294">
        <v>9871</v>
      </c>
      <c r="O150" s="294">
        <v>566</v>
      </c>
      <c r="P150" s="294">
        <f t="shared" si="53"/>
        <v>91554</v>
      </c>
      <c r="Q150" s="294">
        <f t="shared" si="54"/>
        <v>3620</v>
      </c>
      <c r="R150" s="294">
        <f t="shared" si="55"/>
        <v>106790</v>
      </c>
      <c r="S150" s="294">
        <f t="shared" si="56"/>
        <v>684614</v>
      </c>
      <c r="T150" s="294">
        <f t="shared" si="57"/>
        <v>9871</v>
      </c>
      <c r="U150" s="294">
        <f t="shared" si="58"/>
        <v>13370</v>
      </c>
      <c r="V150" s="294">
        <f t="shared" si="59"/>
        <v>7166</v>
      </c>
      <c r="W150" s="323">
        <f t="shared" si="60"/>
        <v>825431</v>
      </c>
      <c r="X150" s="294" t="s">
        <v>253</v>
      </c>
    </row>
    <row r="151" spans="2:24" s="294" customFormat="1">
      <c r="B151" s="294" t="s">
        <v>175</v>
      </c>
      <c r="D151" s="294">
        <v>41027</v>
      </c>
      <c r="I151" s="294">
        <f t="shared" si="52"/>
        <v>41027</v>
      </c>
      <c r="M151" s="294">
        <v>17</v>
      </c>
      <c r="P151" s="294">
        <f t="shared" si="53"/>
        <v>17</v>
      </c>
      <c r="Q151" s="294">
        <f t="shared" si="54"/>
        <v>0</v>
      </c>
      <c r="R151" s="294">
        <f t="shared" si="55"/>
        <v>41027</v>
      </c>
      <c r="S151" s="294">
        <f t="shared" si="56"/>
        <v>0</v>
      </c>
      <c r="T151" s="294">
        <f t="shared" si="57"/>
        <v>17</v>
      </c>
      <c r="U151" s="294">
        <f t="shared" si="58"/>
        <v>0</v>
      </c>
      <c r="V151" s="294">
        <f t="shared" si="59"/>
        <v>0</v>
      </c>
      <c r="W151" s="323">
        <f t="shared" si="60"/>
        <v>41044</v>
      </c>
      <c r="X151" s="294" t="s">
        <v>253</v>
      </c>
    </row>
    <row r="152" spans="2:24" s="294" customFormat="1">
      <c r="B152" s="294" t="s">
        <v>176</v>
      </c>
      <c r="D152" s="294">
        <v>6410</v>
      </c>
      <c r="E152" s="294">
        <v>89</v>
      </c>
      <c r="G152" s="294">
        <v>87</v>
      </c>
      <c r="H152" s="294">
        <v>554</v>
      </c>
      <c r="I152" s="294">
        <f t="shared" si="52"/>
        <v>7140</v>
      </c>
      <c r="K152" s="294">
        <v>11</v>
      </c>
      <c r="L152" s="294">
        <v>6730</v>
      </c>
      <c r="M152" s="294">
        <v>1240</v>
      </c>
      <c r="P152" s="294">
        <f t="shared" si="53"/>
        <v>7981</v>
      </c>
      <c r="Q152" s="294">
        <f t="shared" si="54"/>
        <v>0</v>
      </c>
      <c r="R152" s="294">
        <f t="shared" si="55"/>
        <v>6421</v>
      </c>
      <c r="S152" s="294">
        <f t="shared" si="56"/>
        <v>6819</v>
      </c>
      <c r="T152" s="294">
        <f t="shared" si="57"/>
        <v>1240</v>
      </c>
      <c r="U152" s="294">
        <f t="shared" si="58"/>
        <v>87</v>
      </c>
      <c r="V152" s="294">
        <f t="shared" si="59"/>
        <v>554</v>
      </c>
      <c r="W152" s="323">
        <f t="shared" si="60"/>
        <v>15121</v>
      </c>
      <c r="X152" s="294" t="s">
        <v>253</v>
      </c>
    </row>
    <row r="153" spans="2:24" s="294" customFormat="1">
      <c r="B153" s="294" t="s">
        <v>177</v>
      </c>
      <c r="D153" s="294">
        <v>428777</v>
      </c>
      <c r="I153" s="294">
        <f t="shared" si="52"/>
        <v>428777</v>
      </c>
      <c r="K153" s="294">
        <v>88826</v>
      </c>
      <c r="M153" s="294">
        <v>33</v>
      </c>
      <c r="P153" s="294">
        <f t="shared" si="53"/>
        <v>88859</v>
      </c>
      <c r="Q153" s="294">
        <f t="shared" si="54"/>
        <v>0</v>
      </c>
      <c r="R153" s="294">
        <f t="shared" si="55"/>
        <v>517603</v>
      </c>
      <c r="S153" s="294">
        <f t="shared" si="56"/>
        <v>0</v>
      </c>
      <c r="T153" s="294">
        <f t="shared" si="57"/>
        <v>33</v>
      </c>
      <c r="U153" s="294">
        <f t="shared" si="58"/>
        <v>0</v>
      </c>
      <c r="V153" s="294">
        <f t="shared" si="59"/>
        <v>0</v>
      </c>
      <c r="W153" s="323">
        <f t="shared" si="60"/>
        <v>517636</v>
      </c>
      <c r="X153" s="294" t="s">
        <v>253</v>
      </c>
    </row>
    <row r="154" spans="2:24" s="294" customFormat="1">
      <c r="B154" s="294" t="s">
        <v>178</v>
      </c>
      <c r="C154" s="294">
        <v>29127</v>
      </c>
      <c r="D154" s="294">
        <v>623066</v>
      </c>
      <c r="H154" s="294">
        <v>1965</v>
      </c>
      <c r="I154" s="294">
        <f t="shared" si="52"/>
        <v>654158</v>
      </c>
      <c r="K154" s="294">
        <v>141171</v>
      </c>
      <c r="M154" s="294">
        <v>8552</v>
      </c>
      <c r="P154" s="294">
        <f t="shared" si="53"/>
        <v>149723</v>
      </c>
      <c r="Q154" s="294">
        <f t="shared" si="54"/>
        <v>29127</v>
      </c>
      <c r="R154" s="294">
        <f t="shared" si="55"/>
        <v>764237</v>
      </c>
      <c r="S154" s="294">
        <f t="shared" si="56"/>
        <v>0</v>
      </c>
      <c r="T154" s="294">
        <f t="shared" si="57"/>
        <v>8552</v>
      </c>
      <c r="U154" s="294">
        <f t="shared" si="58"/>
        <v>0</v>
      </c>
      <c r="V154" s="294">
        <f t="shared" si="59"/>
        <v>1965</v>
      </c>
      <c r="W154" s="323">
        <f t="shared" si="60"/>
        <v>803881</v>
      </c>
      <c r="X154" s="294" t="s">
        <v>253</v>
      </c>
    </row>
    <row r="155" spans="2:24" s="294" customFormat="1">
      <c r="B155" s="294" t="s">
        <v>179</v>
      </c>
      <c r="D155" s="294">
        <v>5</v>
      </c>
      <c r="I155" s="294">
        <f t="shared" si="52"/>
        <v>5</v>
      </c>
      <c r="K155" s="294">
        <v>5833</v>
      </c>
      <c r="L155" s="294">
        <v>545194</v>
      </c>
      <c r="P155" s="294">
        <f t="shared" si="53"/>
        <v>551027</v>
      </c>
      <c r="Q155" s="294">
        <f t="shared" si="54"/>
        <v>0</v>
      </c>
      <c r="R155" s="294">
        <f t="shared" si="55"/>
        <v>5838</v>
      </c>
      <c r="S155" s="294">
        <f t="shared" si="56"/>
        <v>545194</v>
      </c>
      <c r="T155" s="294">
        <f t="shared" si="57"/>
        <v>0</v>
      </c>
      <c r="U155" s="294">
        <f t="shared" si="58"/>
        <v>0</v>
      </c>
      <c r="V155" s="294">
        <f t="shared" si="59"/>
        <v>0</v>
      </c>
      <c r="W155" s="323">
        <f t="shared" si="60"/>
        <v>551032</v>
      </c>
      <c r="X155" s="294" t="s">
        <v>253</v>
      </c>
    </row>
    <row r="156" spans="2:24" s="308" customFormat="1">
      <c r="B156" s="308" t="s">
        <v>57</v>
      </c>
      <c r="D156" s="308">
        <v>132631</v>
      </c>
      <c r="F156" s="308">
        <v>545866</v>
      </c>
      <c r="G156" s="308">
        <v>1450951</v>
      </c>
      <c r="I156" s="308">
        <f t="shared" si="52"/>
        <v>2129448</v>
      </c>
      <c r="K156" s="308">
        <v>9762</v>
      </c>
      <c r="M156" s="308">
        <v>56856</v>
      </c>
      <c r="N156" s="308">
        <v>162674</v>
      </c>
      <c r="P156" s="308">
        <f t="shared" si="53"/>
        <v>229292</v>
      </c>
      <c r="Q156" s="308">
        <f t="shared" si="54"/>
        <v>0</v>
      </c>
      <c r="R156" s="308">
        <f t="shared" si="55"/>
        <v>142393</v>
      </c>
      <c r="S156" s="308">
        <f t="shared" si="56"/>
        <v>0</v>
      </c>
      <c r="T156" s="308">
        <f t="shared" si="57"/>
        <v>602722</v>
      </c>
      <c r="U156" s="308">
        <f t="shared" si="58"/>
        <v>1613625</v>
      </c>
      <c r="V156" s="308">
        <f t="shared" si="59"/>
        <v>0</v>
      </c>
      <c r="W156" s="323">
        <f t="shared" si="60"/>
        <v>2358740</v>
      </c>
      <c r="X156" s="308" t="s">
        <v>57</v>
      </c>
    </row>
    <row r="157" spans="2:24" s="294" customFormat="1">
      <c r="B157" s="294" t="s">
        <v>180</v>
      </c>
      <c r="G157" s="294">
        <v>1118589</v>
      </c>
      <c r="I157" s="294">
        <f t="shared" si="52"/>
        <v>1118589</v>
      </c>
      <c r="N157" s="294">
        <v>162674</v>
      </c>
      <c r="P157" s="294">
        <f t="shared" si="53"/>
        <v>162674</v>
      </c>
      <c r="Q157" s="294">
        <f t="shared" si="54"/>
        <v>0</v>
      </c>
      <c r="R157" s="294">
        <f t="shared" si="55"/>
        <v>0</v>
      </c>
      <c r="S157" s="294">
        <f t="shared" si="56"/>
        <v>0</v>
      </c>
      <c r="T157" s="294">
        <f t="shared" si="57"/>
        <v>0</v>
      </c>
      <c r="U157" s="294">
        <f t="shared" si="58"/>
        <v>1281263</v>
      </c>
      <c r="V157" s="294">
        <f t="shared" si="59"/>
        <v>0</v>
      </c>
      <c r="W157" s="323">
        <f t="shared" si="60"/>
        <v>1281263</v>
      </c>
      <c r="X157" s="294" t="s">
        <v>57</v>
      </c>
    </row>
    <row r="158" spans="2:24" s="294" customFormat="1">
      <c r="B158" s="294" t="s">
        <v>181</v>
      </c>
      <c r="D158" s="294">
        <v>132631</v>
      </c>
      <c r="F158" s="294">
        <v>545866</v>
      </c>
      <c r="G158" s="294">
        <v>332362</v>
      </c>
      <c r="I158" s="294">
        <f t="shared" si="52"/>
        <v>1010859</v>
      </c>
      <c r="K158" s="294">
        <v>9762</v>
      </c>
      <c r="M158" s="294">
        <v>56856</v>
      </c>
      <c r="P158" s="294">
        <f t="shared" si="53"/>
        <v>66618</v>
      </c>
      <c r="Q158" s="294">
        <f t="shared" si="54"/>
        <v>0</v>
      </c>
      <c r="R158" s="294">
        <f t="shared" si="55"/>
        <v>142393</v>
      </c>
      <c r="S158" s="294">
        <f t="shared" si="56"/>
        <v>0</v>
      </c>
      <c r="T158" s="294">
        <f t="shared" si="57"/>
        <v>602722</v>
      </c>
      <c r="U158" s="294">
        <f t="shared" si="58"/>
        <v>332362</v>
      </c>
      <c r="V158" s="294">
        <f t="shared" si="59"/>
        <v>0</v>
      </c>
      <c r="W158" s="323">
        <f t="shared" si="60"/>
        <v>1077477</v>
      </c>
      <c r="X158" s="294" t="s">
        <v>57</v>
      </c>
    </row>
    <row r="159" spans="2:24" s="308" customFormat="1">
      <c r="B159" s="308" t="s">
        <v>86</v>
      </c>
      <c r="C159" s="308">
        <v>36501</v>
      </c>
      <c r="D159" s="308">
        <v>110274</v>
      </c>
      <c r="E159" s="308">
        <v>68546</v>
      </c>
      <c r="G159" s="308">
        <v>528328</v>
      </c>
      <c r="H159" s="308">
        <v>3276</v>
      </c>
      <c r="I159" s="308">
        <f t="shared" si="52"/>
        <v>746925</v>
      </c>
      <c r="K159" s="308">
        <v>7852</v>
      </c>
      <c r="M159" s="308">
        <v>5564</v>
      </c>
      <c r="N159" s="308">
        <v>191451</v>
      </c>
      <c r="O159" s="308">
        <v>6774</v>
      </c>
      <c r="P159" s="308">
        <f t="shared" si="53"/>
        <v>211641</v>
      </c>
      <c r="Q159" s="308">
        <f t="shared" si="54"/>
        <v>36501</v>
      </c>
      <c r="R159" s="308">
        <f t="shared" si="55"/>
        <v>118126</v>
      </c>
      <c r="S159" s="308">
        <f t="shared" si="56"/>
        <v>68546</v>
      </c>
      <c r="T159" s="308">
        <f t="shared" si="57"/>
        <v>5564</v>
      </c>
      <c r="U159" s="308">
        <f t="shared" si="58"/>
        <v>719779</v>
      </c>
      <c r="V159" s="308">
        <f t="shared" si="59"/>
        <v>10050</v>
      </c>
      <c r="W159" s="323">
        <f t="shared" si="60"/>
        <v>958566</v>
      </c>
      <c r="X159" s="308" t="s">
        <v>86</v>
      </c>
    </row>
    <row r="160" spans="2:24" s="294" customFormat="1">
      <c r="B160" s="294" t="s">
        <v>182</v>
      </c>
      <c r="C160" s="294">
        <v>15138</v>
      </c>
      <c r="D160" s="294">
        <v>24145</v>
      </c>
      <c r="E160" s="294">
        <v>9781</v>
      </c>
      <c r="G160" s="294">
        <v>447</v>
      </c>
      <c r="H160" s="294">
        <v>163</v>
      </c>
      <c r="I160" s="294">
        <f t="shared" si="52"/>
        <v>49674</v>
      </c>
      <c r="K160" s="294">
        <v>484</v>
      </c>
      <c r="M160" s="294">
        <v>1015</v>
      </c>
      <c r="P160" s="294">
        <f t="shared" si="53"/>
        <v>1499</v>
      </c>
      <c r="Q160" s="294">
        <f t="shared" si="54"/>
        <v>15138</v>
      </c>
      <c r="R160" s="294">
        <f t="shared" si="55"/>
        <v>24629</v>
      </c>
      <c r="S160" s="294">
        <f t="shared" si="56"/>
        <v>9781</v>
      </c>
      <c r="T160" s="294">
        <f t="shared" si="57"/>
        <v>1015</v>
      </c>
      <c r="U160" s="294">
        <f t="shared" si="58"/>
        <v>447</v>
      </c>
      <c r="V160" s="294">
        <f t="shared" si="59"/>
        <v>163</v>
      </c>
      <c r="W160" s="323">
        <f t="shared" si="60"/>
        <v>51173</v>
      </c>
      <c r="X160" s="294" t="s">
        <v>86</v>
      </c>
    </row>
    <row r="161" spans="2:30" s="294" customFormat="1">
      <c r="B161" s="294" t="s">
        <v>183</v>
      </c>
      <c r="C161" s="294">
        <v>21363</v>
      </c>
      <c r="D161" s="294">
        <v>86129</v>
      </c>
      <c r="E161" s="294">
        <v>58765</v>
      </c>
      <c r="G161" s="294">
        <v>1063</v>
      </c>
      <c r="H161" s="294">
        <v>3113</v>
      </c>
      <c r="I161" s="294">
        <f t="shared" si="52"/>
        <v>170433</v>
      </c>
      <c r="K161" s="294">
        <v>7368</v>
      </c>
      <c r="M161" s="294">
        <v>4549</v>
      </c>
      <c r="P161" s="294">
        <f t="shared" si="53"/>
        <v>11917</v>
      </c>
      <c r="Q161" s="294">
        <f t="shared" si="54"/>
        <v>21363</v>
      </c>
      <c r="R161" s="294">
        <f t="shared" si="55"/>
        <v>93497</v>
      </c>
      <c r="S161" s="294">
        <f t="shared" si="56"/>
        <v>58765</v>
      </c>
      <c r="T161" s="294">
        <f t="shared" si="57"/>
        <v>4549</v>
      </c>
      <c r="U161" s="294">
        <f t="shared" si="58"/>
        <v>1063</v>
      </c>
      <c r="V161" s="294">
        <f t="shared" si="59"/>
        <v>3113</v>
      </c>
      <c r="W161" s="323">
        <f t="shared" si="60"/>
        <v>182350</v>
      </c>
      <c r="X161" s="294" t="s">
        <v>86</v>
      </c>
    </row>
    <row r="162" spans="2:30" s="294" customFormat="1">
      <c r="B162" s="294" t="s">
        <v>74</v>
      </c>
      <c r="G162" s="294">
        <v>526818</v>
      </c>
      <c r="I162" s="294">
        <f t="shared" si="52"/>
        <v>526818</v>
      </c>
      <c r="N162" s="294">
        <v>191451</v>
      </c>
      <c r="P162" s="294">
        <f t="shared" si="53"/>
        <v>191451</v>
      </c>
      <c r="Q162" s="294">
        <f t="shared" si="54"/>
        <v>0</v>
      </c>
      <c r="R162" s="294">
        <f t="shared" si="55"/>
        <v>0</v>
      </c>
      <c r="S162" s="294">
        <f t="shared" si="56"/>
        <v>0</v>
      </c>
      <c r="T162" s="294">
        <f t="shared" si="57"/>
        <v>0</v>
      </c>
      <c r="U162" s="294">
        <f t="shared" si="58"/>
        <v>718269</v>
      </c>
      <c r="V162" s="294">
        <f t="shared" si="59"/>
        <v>0</v>
      </c>
      <c r="W162" s="323">
        <f t="shared" si="60"/>
        <v>718269</v>
      </c>
      <c r="X162" s="294" t="s">
        <v>86</v>
      </c>
    </row>
    <row r="163" spans="2:30" s="294" customFormat="1">
      <c r="B163" s="294" t="s">
        <v>184</v>
      </c>
      <c r="I163" s="294">
        <f t="shared" si="52"/>
        <v>0</v>
      </c>
      <c r="O163" s="294">
        <v>6774</v>
      </c>
      <c r="P163" s="294">
        <f t="shared" si="53"/>
        <v>6774</v>
      </c>
      <c r="Q163" s="294">
        <f t="shared" si="54"/>
        <v>0</v>
      </c>
      <c r="R163" s="294">
        <f t="shared" si="55"/>
        <v>0</v>
      </c>
      <c r="S163" s="294">
        <f t="shared" si="56"/>
        <v>0</v>
      </c>
      <c r="T163" s="294">
        <f t="shared" si="57"/>
        <v>0</v>
      </c>
      <c r="U163" s="294">
        <f t="shared" si="58"/>
        <v>0</v>
      </c>
      <c r="V163" s="294">
        <f t="shared" si="59"/>
        <v>6774</v>
      </c>
      <c r="W163" s="323">
        <f t="shared" si="60"/>
        <v>6774</v>
      </c>
      <c r="X163" s="294" t="s">
        <v>86</v>
      </c>
    </row>
    <row r="164" spans="2:30" s="294" customFormat="1">
      <c r="B164" s="308" t="s">
        <v>17</v>
      </c>
      <c r="C164" s="294">
        <v>441675</v>
      </c>
      <c r="D164" s="294">
        <v>233257</v>
      </c>
      <c r="E164" s="294">
        <v>522444</v>
      </c>
      <c r="I164" s="294">
        <f t="shared" si="52"/>
        <v>1197376</v>
      </c>
      <c r="P164" s="294">
        <f t="shared" si="53"/>
        <v>0</v>
      </c>
      <c r="Q164" s="294">
        <f t="shared" si="54"/>
        <v>441675</v>
      </c>
      <c r="R164" s="294">
        <f t="shared" si="55"/>
        <v>233257</v>
      </c>
      <c r="S164" s="294">
        <f t="shared" si="56"/>
        <v>522444</v>
      </c>
      <c r="T164" s="294">
        <f t="shared" si="57"/>
        <v>0</v>
      </c>
      <c r="U164" s="294">
        <f t="shared" si="58"/>
        <v>0</v>
      </c>
      <c r="V164" s="294">
        <f t="shared" si="59"/>
        <v>0</v>
      </c>
      <c r="W164" s="323">
        <f t="shared" si="60"/>
        <v>1197376</v>
      </c>
      <c r="X164" s="308" t="s">
        <v>17</v>
      </c>
      <c r="AD164" s="308"/>
    </row>
    <row r="165" spans="2:30" s="294" customFormat="1">
      <c r="B165" s="308" t="s">
        <v>15</v>
      </c>
      <c r="C165" s="294">
        <v>1787203</v>
      </c>
      <c r="D165" s="294">
        <v>805157</v>
      </c>
      <c r="E165" s="294">
        <v>1766888</v>
      </c>
      <c r="F165" s="294">
        <v>1727403</v>
      </c>
      <c r="G165" s="294">
        <v>160806</v>
      </c>
      <c r="H165" s="294">
        <v>13851</v>
      </c>
      <c r="I165" s="294">
        <f t="shared" si="52"/>
        <v>6261308</v>
      </c>
      <c r="K165" s="294">
        <v>78789</v>
      </c>
      <c r="L165" s="294">
        <v>346276</v>
      </c>
      <c r="M165" s="294">
        <v>178677</v>
      </c>
      <c r="N165" s="294">
        <v>575</v>
      </c>
      <c r="P165" s="294">
        <f t="shared" si="53"/>
        <v>604317</v>
      </c>
      <c r="Q165" s="294">
        <f t="shared" si="54"/>
        <v>1787203</v>
      </c>
      <c r="R165" s="294">
        <f t="shared" si="55"/>
        <v>883946</v>
      </c>
      <c r="S165" s="294">
        <f t="shared" si="56"/>
        <v>2113164</v>
      </c>
      <c r="T165" s="294">
        <f t="shared" si="57"/>
        <v>1906080</v>
      </c>
      <c r="U165" s="294">
        <f t="shared" si="58"/>
        <v>161381</v>
      </c>
      <c r="V165" s="294">
        <f t="shared" si="59"/>
        <v>13851</v>
      </c>
      <c r="W165" s="323">
        <f t="shared" si="60"/>
        <v>6865625</v>
      </c>
      <c r="X165" s="308" t="s">
        <v>15</v>
      </c>
    </row>
    <row r="166" spans="2:30" s="294" customFormat="1">
      <c r="B166" s="294" t="s">
        <v>185</v>
      </c>
      <c r="F166" s="294">
        <v>575271</v>
      </c>
      <c r="I166" s="294">
        <f t="shared" si="52"/>
        <v>575271</v>
      </c>
      <c r="M166" s="294">
        <v>286</v>
      </c>
      <c r="P166" s="294">
        <f t="shared" si="53"/>
        <v>286</v>
      </c>
      <c r="Q166" s="294">
        <f t="shared" si="54"/>
        <v>0</v>
      </c>
      <c r="R166" s="294">
        <f t="shared" si="55"/>
        <v>0</v>
      </c>
      <c r="S166" s="294">
        <f t="shared" si="56"/>
        <v>0</v>
      </c>
      <c r="T166" s="294">
        <f t="shared" si="57"/>
        <v>575557</v>
      </c>
      <c r="U166" s="294">
        <f t="shared" si="58"/>
        <v>0</v>
      </c>
      <c r="V166" s="294">
        <f t="shared" si="59"/>
        <v>0</v>
      </c>
      <c r="W166" s="323">
        <f t="shared" si="60"/>
        <v>575557</v>
      </c>
      <c r="X166" s="294" t="s">
        <v>15</v>
      </c>
    </row>
    <row r="167" spans="2:30" s="294" customFormat="1">
      <c r="B167" s="294" t="s">
        <v>186</v>
      </c>
      <c r="I167" s="294">
        <f t="shared" si="52"/>
        <v>0</v>
      </c>
      <c r="L167" s="294">
        <v>4707</v>
      </c>
      <c r="M167" s="294">
        <v>41686</v>
      </c>
      <c r="P167" s="294">
        <f t="shared" si="53"/>
        <v>46393</v>
      </c>
      <c r="Q167" s="294">
        <f t="shared" si="54"/>
        <v>0</v>
      </c>
      <c r="R167" s="294">
        <f t="shared" si="55"/>
        <v>0</v>
      </c>
      <c r="S167" s="294">
        <f t="shared" si="56"/>
        <v>4707</v>
      </c>
      <c r="T167" s="294">
        <f t="shared" si="57"/>
        <v>41686</v>
      </c>
      <c r="U167" s="294">
        <f t="shared" si="58"/>
        <v>0</v>
      </c>
      <c r="V167" s="294">
        <f t="shared" si="59"/>
        <v>0</v>
      </c>
      <c r="W167" s="323">
        <f t="shared" si="60"/>
        <v>46393</v>
      </c>
      <c r="X167" s="294" t="s">
        <v>15</v>
      </c>
    </row>
    <row r="168" spans="2:30" s="294" customFormat="1">
      <c r="B168" s="294" t="s">
        <v>187</v>
      </c>
      <c r="D168" s="294">
        <v>39321</v>
      </c>
      <c r="E168" s="294">
        <v>258704</v>
      </c>
      <c r="F168" s="294">
        <v>41252</v>
      </c>
      <c r="G168" s="294">
        <v>1005</v>
      </c>
      <c r="H168" s="294">
        <v>7592</v>
      </c>
      <c r="I168" s="294">
        <f t="shared" si="52"/>
        <v>347874</v>
      </c>
      <c r="K168" s="294">
        <v>1</v>
      </c>
      <c r="P168" s="294">
        <f t="shared" si="53"/>
        <v>1</v>
      </c>
      <c r="Q168" s="294">
        <f t="shared" si="54"/>
        <v>0</v>
      </c>
      <c r="R168" s="294">
        <f t="shared" si="55"/>
        <v>39322</v>
      </c>
      <c r="S168" s="294">
        <f t="shared" si="56"/>
        <v>258704</v>
      </c>
      <c r="T168" s="294">
        <f t="shared" si="57"/>
        <v>41252</v>
      </c>
      <c r="U168" s="294">
        <f t="shared" si="58"/>
        <v>1005</v>
      </c>
      <c r="V168" s="294">
        <f t="shared" si="59"/>
        <v>7592</v>
      </c>
      <c r="W168" s="323">
        <f t="shared" si="60"/>
        <v>347875</v>
      </c>
      <c r="X168" s="294" t="s">
        <v>15</v>
      </c>
    </row>
    <row r="169" spans="2:30" s="294" customFormat="1">
      <c r="B169" s="294" t="s">
        <v>188</v>
      </c>
      <c r="C169" s="294">
        <v>1787203</v>
      </c>
      <c r="D169" s="294">
        <v>765836</v>
      </c>
      <c r="E169" s="294">
        <v>1508184</v>
      </c>
      <c r="F169" s="294">
        <v>1110880</v>
      </c>
      <c r="G169" s="294">
        <v>159801</v>
      </c>
      <c r="H169" s="294">
        <v>6259</v>
      </c>
      <c r="I169" s="294">
        <f t="shared" si="52"/>
        <v>5338163</v>
      </c>
      <c r="K169" s="294">
        <v>78788</v>
      </c>
      <c r="L169" s="294">
        <v>341569</v>
      </c>
      <c r="M169" s="294">
        <v>136705</v>
      </c>
      <c r="N169" s="294">
        <v>575</v>
      </c>
      <c r="P169" s="294">
        <f t="shared" si="53"/>
        <v>557637</v>
      </c>
      <c r="Q169" s="294">
        <f t="shared" si="54"/>
        <v>1787203</v>
      </c>
      <c r="R169" s="294">
        <f t="shared" si="55"/>
        <v>844624</v>
      </c>
      <c r="S169" s="294">
        <f t="shared" si="56"/>
        <v>1849753</v>
      </c>
      <c r="T169" s="294">
        <f t="shared" si="57"/>
        <v>1247585</v>
      </c>
      <c r="U169" s="294">
        <f t="shared" si="58"/>
        <v>160376</v>
      </c>
      <c r="V169" s="294">
        <f t="shared" si="59"/>
        <v>6259</v>
      </c>
      <c r="W169" s="323">
        <f t="shared" si="60"/>
        <v>5895800</v>
      </c>
      <c r="X169" s="294" t="s">
        <v>15</v>
      </c>
      <c r="AD169" s="308"/>
    </row>
    <row r="170" spans="2:30" s="308" customFormat="1">
      <c r="B170" s="308" t="s">
        <v>41</v>
      </c>
      <c r="C170" s="308">
        <v>2281896</v>
      </c>
      <c r="D170" s="308">
        <v>2787212</v>
      </c>
      <c r="E170" s="308">
        <v>558009</v>
      </c>
      <c r="G170" s="308">
        <v>101185</v>
      </c>
      <c r="H170" s="308">
        <v>47334</v>
      </c>
      <c r="I170" s="308">
        <f t="shared" si="52"/>
        <v>5775636</v>
      </c>
      <c r="K170" s="308">
        <v>178954</v>
      </c>
      <c r="L170" s="308">
        <v>36323</v>
      </c>
      <c r="M170" s="308">
        <v>61713</v>
      </c>
      <c r="P170" s="308">
        <f t="shared" si="53"/>
        <v>276990</v>
      </c>
      <c r="Q170" s="308">
        <f t="shared" si="54"/>
        <v>2281896</v>
      </c>
      <c r="R170" s="308">
        <f t="shared" si="55"/>
        <v>2966166</v>
      </c>
      <c r="S170" s="308">
        <f t="shared" si="56"/>
        <v>594332</v>
      </c>
      <c r="T170" s="308">
        <f t="shared" si="57"/>
        <v>61713</v>
      </c>
      <c r="U170" s="308">
        <f t="shared" si="58"/>
        <v>101185</v>
      </c>
      <c r="V170" s="308">
        <f t="shared" si="59"/>
        <v>47334</v>
      </c>
      <c r="W170" s="323">
        <f t="shared" si="60"/>
        <v>6052626</v>
      </c>
      <c r="X170" s="308" t="s">
        <v>41</v>
      </c>
    </row>
    <row r="171" spans="2:30" s="294" customFormat="1">
      <c r="B171" s="294" t="s">
        <v>189</v>
      </c>
      <c r="C171" s="294">
        <v>387796</v>
      </c>
      <c r="D171" s="294">
        <v>614432</v>
      </c>
      <c r="E171" s="294">
        <v>186875</v>
      </c>
      <c r="G171" s="294">
        <v>4187</v>
      </c>
      <c r="H171" s="294">
        <v>21402</v>
      </c>
      <c r="I171" s="294">
        <f t="shared" si="52"/>
        <v>1214692</v>
      </c>
      <c r="K171" s="294">
        <v>623</v>
      </c>
      <c r="M171" s="294">
        <v>20750</v>
      </c>
      <c r="P171" s="294">
        <f t="shared" si="53"/>
        <v>21373</v>
      </c>
      <c r="Q171" s="294">
        <f t="shared" si="54"/>
        <v>387796</v>
      </c>
      <c r="R171" s="294">
        <f t="shared" si="55"/>
        <v>615055</v>
      </c>
      <c r="S171" s="294">
        <f t="shared" si="56"/>
        <v>186875</v>
      </c>
      <c r="T171" s="294">
        <f t="shared" si="57"/>
        <v>20750</v>
      </c>
      <c r="U171" s="294">
        <f t="shared" si="58"/>
        <v>4187</v>
      </c>
      <c r="V171" s="294">
        <f t="shared" si="59"/>
        <v>21402</v>
      </c>
      <c r="W171" s="323">
        <f t="shared" si="60"/>
        <v>1236065</v>
      </c>
      <c r="X171" s="294" t="s">
        <v>41</v>
      </c>
    </row>
    <row r="172" spans="2:30" s="294" customFormat="1">
      <c r="B172" s="294" t="s">
        <v>190</v>
      </c>
      <c r="D172" s="294">
        <v>184</v>
      </c>
      <c r="G172" s="294">
        <v>18</v>
      </c>
      <c r="H172" s="294">
        <v>775</v>
      </c>
      <c r="I172" s="294">
        <f t="shared" si="52"/>
        <v>977</v>
      </c>
      <c r="K172" s="294">
        <v>6</v>
      </c>
      <c r="L172" s="294">
        <v>3837</v>
      </c>
      <c r="M172" s="294">
        <v>651</v>
      </c>
      <c r="P172" s="294">
        <f t="shared" si="53"/>
        <v>4494</v>
      </c>
      <c r="Q172" s="294">
        <f t="shared" si="54"/>
        <v>0</v>
      </c>
      <c r="R172" s="294">
        <f t="shared" si="55"/>
        <v>190</v>
      </c>
      <c r="S172" s="294">
        <f t="shared" si="56"/>
        <v>3837</v>
      </c>
      <c r="T172" s="294">
        <f t="shared" si="57"/>
        <v>651</v>
      </c>
      <c r="U172" s="294">
        <f t="shared" si="58"/>
        <v>18</v>
      </c>
      <c r="V172" s="294">
        <f t="shared" si="59"/>
        <v>775</v>
      </c>
      <c r="W172" s="323">
        <f t="shared" si="60"/>
        <v>5471</v>
      </c>
      <c r="X172" s="294" t="s">
        <v>41</v>
      </c>
    </row>
    <row r="173" spans="2:30" s="294" customFormat="1">
      <c r="B173" s="294" t="s">
        <v>191</v>
      </c>
      <c r="D173" s="294">
        <v>32</v>
      </c>
      <c r="I173" s="294">
        <f t="shared" si="52"/>
        <v>32</v>
      </c>
      <c r="M173" s="294">
        <v>4</v>
      </c>
      <c r="P173" s="294">
        <f t="shared" si="53"/>
        <v>4</v>
      </c>
      <c r="Q173" s="294">
        <f t="shared" si="54"/>
        <v>0</v>
      </c>
      <c r="R173" s="294">
        <f t="shared" si="55"/>
        <v>32</v>
      </c>
      <c r="S173" s="294">
        <f t="shared" si="56"/>
        <v>0</v>
      </c>
      <c r="T173" s="294">
        <f t="shared" si="57"/>
        <v>4</v>
      </c>
      <c r="U173" s="294">
        <f t="shared" si="58"/>
        <v>0</v>
      </c>
      <c r="V173" s="294">
        <f t="shared" si="59"/>
        <v>0</v>
      </c>
      <c r="W173" s="323">
        <f t="shared" si="60"/>
        <v>36</v>
      </c>
      <c r="X173" s="294" t="s">
        <v>41</v>
      </c>
    </row>
    <row r="174" spans="2:30" s="294" customFormat="1">
      <c r="B174" s="294" t="s">
        <v>192</v>
      </c>
      <c r="D174" s="294">
        <v>136104</v>
      </c>
      <c r="I174" s="294">
        <f t="shared" si="52"/>
        <v>136104</v>
      </c>
      <c r="K174" s="294">
        <v>89</v>
      </c>
      <c r="P174" s="294">
        <f t="shared" si="53"/>
        <v>89</v>
      </c>
      <c r="Q174" s="294">
        <f t="shared" si="54"/>
        <v>0</v>
      </c>
      <c r="R174" s="294">
        <f t="shared" si="55"/>
        <v>136193</v>
      </c>
      <c r="S174" s="294">
        <f t="shared" si="56"/>
        <v>0</v>
      </c>
      <c r="T174" s="294">
        <f t="shared" si="57"/>
        <v>0</v>
      </c>
      <c r="U174" s="294">
        <f t="shared" si="58"/>
        <v>0</v>
      </c>
      <c r="V174" s="294">
        <f t="shared" si="59"/>
        <v>0</v>
      </c>
      <c r="W174" s="323">
        <f t="shared" si="60"/>
        <v>136193</v>
      </c>
      <c r="X174" s="294" t="s">
        <v>41</v>
      </c>
    </row>
    <row r="175" spans="2:30" s="294" customFormat="1">
      <c r="B175" s="294" t="s">
        <v>193</v>
      </c>
      <c r="I175" s="294">
        <f t="shared" si="52"/>
        <v>0</v>
      </c>
      <c r="L175" s="294">
        <v>29919</v>
      </c>
      <c r="P175" s="294">
        <f t="shared" si="53"/>
        <v>29919</v>
      </c>
      <c r="Q175" s="294">
        <f t="shared" si="54"/>
        <v>0</v>
      </c>
      <c r="R175" s="294">
        <f t="shared" si="55"/>
        <v>0</v>
      </c>
      <c r="S175" s="294">
        <f t="shared" si="56"/>
        <v>29919</v>
      </c>
      <c r="T175" s="294">
        <f t="shared" si="57"/>
        <v>0</v>
      </c>
      <c r="U175" s="294">
        <f t="shared" si="58"/>
        <v>0</v>
      </c>
      <c r="V175" s="294">
        <f t="shared" si="59"/>
        <v>0</v>
      </c>
      <c r="W175" s="323">
        <f t="shared" si="60"/>
        <v>29919</v>
      </c>
      <c r="X175" s="294" t="s">
        <v>41</v>
      </c>
    </row>
    <row r="176" spans="2:30" s="294" customFormat="1">
      <c r="B176" s="294" t="s">
        <v>194</v>
      </c>
      <c r="C176" s="294">
        <v>106956</v>
      </c>
      <c r="I176" s="294">
        <f t="shared" si="52"/>
        <v>106956</v>
      </c>
      <c r="P176" s="294">
        <f t="shared" si="53"/>
        <v>0</v>
      </c>
      <c r="Q176" s="294">
        <f t="shared" si="54"/>
        <v>106956</v>
      </c>
      <c r="R176" s="294">
        <f t="shared" si="55"/>
        <v>0</v>
      </c>
      <c r="S176" s="294">
        <f t="shared" si="56"/>
        <v>0</v>
      </c>
      <c r="T176" s="294">
        <f t="shared" si="57"/>
        <v>0</v>
      </c>
      <c r="U176" s="294">
        <f t="shared" si="58"/>
        <v>0</v>
      </c>
      <c r="V176" s="294">
        <f t="shared" si="59"/>
        <v>0</v>
      </c>
      <c r="W176" s="323">
        <f t="shared" si="60"/>
        <v>106956</v>
      </c>
      <c r="X176" s="294" t="s">
        <v>41</v>
      </c>
    </row>
    <row r="177" spans="2:24" s="294" customFormat="1">
      <c r="B177" s="294" t="s">
        <v>195</v>
      </c>
      <c r="D177" s="294">
        <v>179</v>
      </c>
      <c r="G177" s="294">
        <v>92</v>
      </c>
      <c r="H177" s="294">
        <v>403</v>
      </c>
      <c r="I177" s="294">
        <f t="shared" si="52"/>
        <v>674</v>
      </c>
      <c r="K177" s="294">
        <v>10</v>
      </c>
      <c r="L177" s="294">
        <v>2567</v>
      </c>
      <c r="M177" s="294">
        <v>571</v>
      </c>
      <c r="P177" s="294">
        <f t="shared" si="53"/>
        <v>3148</v>
      </c>
      <c r="Q177" s="294">
        <f t="shared" si="54"/>
        <v>0</v>
      </c>
      <c r="R177" s="294">
        <f t="shared" si="55"/>
        <v>189</v>
      </c>
      <c r="S177" s="294">
        <f t="shared" si="56"/>
        <v>2567</v>
      </c>
      <c r="T177" s="294">
        <f t="shared" si="57"/>
        <v>571</v>
      </c>
      <c r="U177" s="294">
        <f t="shared" si="58"/>
        <v>92</v>
      </c>
      <c r="V177" s="294">
        <f t="shared" si="59"/>
        <v>403</v>
      </c>
      <c r="W177" s="323">
        <f t="shared" si="60"/>
        <v>3822</v>
      </c>
      <c r="X177" s="294" t="s">
        <v>41</v>
      </c>
    </row>
    <row r="178" spans="2:24" s="294" customFormat="1">
      <c r="B178" s="294" t="s">
        <v>196</v>
      </c>
      <c r="D178" s="294">
        <v>2064</v>
      </c>
      <c r="I178" s="294">
        <f t="shared" si="52"/>
        <v>2064</v>
      </c>
      <c r="K178" s="294">
        <v>16561</v>
      </c>
      <c r="P178" s="294">
        <f t="shared" si="53"/>
        <v>16561</v>
      </c>
      <c r="Q178" s="294">
        <f t="shared" si="54"/>
        <v>0</v>
      </c>
      <c r="R178" s="294">
        <f t="shared" si="55"/>
        <v>18625</v>
      </c>
      <c r="S178" s="294">
        <f t="shared" si="56"/>
        <v>0</v>
      </c>
      <c r="T178" s="294">
        <f t="shared" si="57"/>
        <v>0</v>
      </c>
      <c r="U178" s="294">
        <f t="shared" si="58"/>
        <v>0</v>
      </c>
      <c r="V178" s="294">
        <f t="shared" si="59"/>
        <v>0</v>
      </c>
      <c r="W178" s="323">
        <f t="shared" si="60"/>
        <v>18625</v>
      </c>
      <c r="X178" s="294" t="s">
        <v>41</v>
      </c>
    </row>
    <row r="179" spans="2:24" s="294" customFormat="1">
      <c r="B179" s="294" t="s">
        <v>197</v>
      </c>
      <c r="I179" s="294">
        <f t="shared" si="52"/>
        <v>0</v>
      </c>
      <c r="P179" s="294">
        <f t="shared" si="53"/>
        <v>0</v>
      </c>
      <c r="Q179" s="294">
        <f t="shared" si="54"/>
        <v>0</v>
      </c>
      <c r="R179" s="294">
        <f t="shared" si="55"/>
        <v>0</v>
      </c>
      <c r="S179" s="294">
        <f t="shared" si="56"/>
        <v>0</v>
      </c>
      <c r="T179" s="294">
        <f t="shared" si="57"/>
        <v>0</v>
      </c>
      <c r="U179" s="294">
        <f t="shared" si="58"/>
        <v>0</v>
      </c>
      <c r="V179" s="294">
        <f t="shared" si="59"/>
        <v>0</v>
      </c>
      <c r="W179" s="323">
        <f t="shared" si="60"/>
        <v>0</v>
      </c>
      <c r="X179" s="294" t="s">
        <v>41</v>
      </c>
    </row>
    <row r="180" spans="2:24" s="294" customFormat="1">
      <c r="B180" s="294" t="s">
        <v>198</v>
      </c>
      <c r="D180" s="294">
        <v>87199</v>
      </c>
      <c r="E180" s="294">
        <v>70065</v>
      </c>
      <c r="G180" s="294">
        <v>779</v>
      </c>
      <c r="H180" s="294">
        <v>8963</v>
      </c>
      <c r="I180" s="294">
        <f t="shared" si="52"/>
        <v>167006</v>
      </c>
      <c r="K180" s="294">
        <v>35</v>
      </c>
      <c r="M180" s="294">
        <v>7193</v>
      </c>
      <c r="P180" s="294">
        <f t="shared" si="53"/>
        <v>7228</v>
      </c>
      <c r="Q180" s="294">
        <f t="shared" si="54"/>
        <v>0</v>
      </c>
      <c r="R180" s="294">
        <f t="shared" si="55"/>
        <v>87234</v>
      </c>
      <c r="S180" s="294">
        <f t="shared" si="56"/>
        <v>70065</v>
      </c>
      <c r="T180" s="294">
        <f t="shared" si="57"/>
        <v>7193</v>
      </c>
      <c r="U180" s="294">
        <f t="shared" si="58"/>
        <v>779</v>
      </c>
      <c r="V180" s="294">
        <f t="shared" si="59"/>
        <v>8963</v>
      </c>
      <c r="W180" s="323">
        <f t="shared" si="60"/>
        <v>174234</v>
      </c>
      <c r="X180" s="294" t="s">
        <v>41</v>
      </c>
    </row>
    <row r="181" spans="2:24" s="294" customFormat="1">
      <c r="B181" s="294" t="s">
        <v>199</v>
      </c>
      <c r="I181" s="294">
        <f t="shared" si="52"/>
        <v>0</v>
      </c>
      <c r="K181" s="294">
        <v>18</v>
      </c>
      <c r="M181" s="294">
        <v>315</v>
      </c>
      <c r="P181" s="294">
        <f t="shared" si="53"/>
        <v>333</v>
      </c>
      <c r="Q181" s="294">
        <f t="shared" si="54"/>
        <v>0</v>
      </c>
      <c r="R181" s="294">
        <f t="shared" si="55"/>
        <v>18</v>
      </c>
      <c r="S181" s="294">
        <f t="shared" si="56"/>
        <v>0</v>
      </c>
      <c r="T181" s="294">
        <f t="shared" si="57"/>
        <v>315</v>
      </c>
      <c r="U181" s="294">
        <f t="shared" si="58"/>
        <v>0</v>
      </c>
      <c r="V181" s="294">
        <f t="shared" si="59"/>
        <v>0</v>
      </c>
      <c r="W181" s="323">
        <f t="shared" si="60"/>
        <v>333</v>
      </c>
      <c r="X181" s="294" t="s">
        <v>41</v>
      </c>
    </row>
    <row r="182" spans="2:24" s="294" customFormat="1">
      <c r="B182" s="294" t="s">
        <v>200</v>
      </c>
      <c r="D182" s="294">
        <v>208199</v>
      </c>
      <c r="I182" s="294">
        <f t="shared" si="52"/>
        <v>208199</v>
      </c>
      <c r="K182" s="294">
        <v>378</v>
      </c>
      <c r="P182" s="294">
        <f t="shared" si="53"/>
        <v>378</v>
      </c>
      <c r="Q182" s="294">
        <f t="shared" si="54"/>
        <v>0</v>
      </c>
      <c r="R182" s="294">
        <f t="shared" si="55"/>
        <v>208577</v>
      </c>
      <c r="S182" s="294">
        <f t="shared" si="56"/>
        <v>0</v>
      </c>
      <c r="T182" s="294">
        <f t="shared" si="57"/>
        <v>0</v>
      </c>
      <c r="U182" s="294">
        <f t="shared" si="58"/>
        <v>0</v>
      </c>
      <c r="V182" s="294">
        <f t="shared" si="59"/>
        <v>0</v>
      </c>
      <c r="W182" s="323">
        <f t="shared" si="60"/>
        <v>208577</v>
      </c>
      <c r="X182" s="294" t="s">
        <v>41</v>
      </c>
    </row>
    <row r="183" spans="2:24" s="294" customFormat="1">
      <c r="B183" s="294" t="s">
        <v>201</v>
      </c>
      <c r="C183" s="294">
        <v>29560</v>
      </c>
      <c r="D183" s="294">
        <v>538645</v>
      </c>
      <c r="G183" s="294">
        <v>53721</v>
      </c>
      <c r="I183" s="294">
        <f t="shared" si="52"/>
        <v>621926</v>
      </c>
      <c r="K183" s="294">
        <v>906</v>
      </c>
      <c r="P183" s="294">
        <f t="shared" si="53"/>
        <v>906</v>
      </c>
      <c r="Q183" s="294">
        <f t="shared" si="54"/>
        <v>29560</v>
      </c>
      <c r="R183" s="294">
        <f t="shared" si="55"/>
        <v>539551</v>
      </c>
      <c r="S183" s="294">
        <f t="shared" si="56"/>
        <v>0</v>
      </c>
      <c r="T183" s="294">
        <f t="shared" si="57"/>
        <v>0</v>
      </c>
      <c r="U183" s="294">
        <f t="shared" si="58"/>
        <v>53721</v>
      </c>
      <c r="V183" s="294">
        <f t="shared" si="59"/>
        <v>0</v>
      </c>
      <c r="W183" s="323">
        <f t="shared" si="60"/>
        <v>622832</v>
      </c>
      <c r="X183" s="294" t="s">
        <v>41</v>
      </c>
    </row>
    <row r="184" spans="2:24" s="294" customFormat="1">
      <c r="B184" s="294" t="s">
        <v>202</v>
      </c>
      <c r="C184" s="294">
        <v>1757584</v>
      </c>
      <c r="D184" s="294">
        <v>1200174</v>
      </c>
      <c r="E184" s="294">
        <v>301069</v>
      </c>
      <c r="G184" s="294">
        <v>42388</v>
      </c>
      <c r="H184" s="294">
        <v>15791</v>
      </c>
      <c r="I184" s="294">
        <f t="shared" si="52"/>
        <v>3317006</v>
      </c>
      <c r="K184" s="294">
        <v>160328</v>
      </c>
      <c r="L184" s="294">
        <v>0</v>
      </c>
      <c r="M184" s="294">
        <v>32229</v>
      </c>
      <c r="P184" s="294">
        <f t="shared" si="53"/>
        <v>192557</v>
      </c>
      <c r="Q184" s="294">
        <f t="shared" si="54"/>
        <v>1757584</v>
      </c>
      <c r="R184" s="294">
        <f t="shared" si="55"/>
        <v>1360502</v>
      </c>
      <c r="S184" s="294">
        <f t="shared" si="56"/>
        <v>301069</v>
      </c>
      <c r="T184" s="294">
        <f t="shared" si="57"/>
        <v>32229</v>
      </c>
      <c r="U184" s="294">
        <f t="shared" si="58"/>
        <v>42388</v>
      </c>
      <c r="V184" s="294">
        <f t="shared" si="59"/>
        <v>15791</v>
      </c>
      <c r="W184" s="323">
        <f>SUM(Q184:V184)</f>
        <v>3509563</v>
      </c>
      <c r="X184" s="294" t="s">
        <v>41</v>
      </c>
    </row>
    <row r="185" spans="2:24" s="4" customFormat="1">
      <c r="D185" s="299"/>
    </row>
    <row r="186" spans="2:24" s="4" customFormat="1"/>
    <row r="187" spans="2:24" s="4" customFormat="1"/>
    <row r="188" spans="2:24" s="4" customFormat="1"/>
    <row r="189" spans="2:24" s="4" customFormat="1"/>
    <row r="190" spans="2:24" s="4" customFormat="1"/>
    <row r="191" spans="2:24" s="4" customFormat="1"/>
    <row r="192" spans="2:24"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301" customFormat="1"/>
    <row r="249" s="301" customFormat="1"/>
    <row r="250" s="301" customFormat="1"/>
    <row r="251" s="301" customFormat="1"/>
    <row r="252" s="301" customFormat="1"/>
  </sheetData>
  <sheetProtection algorithmName="SHA-512" hashValue="Feg8MD3DAEnEMNe/Pumhi2kAZQkXjiZLltVeZiA6QyiNKUYAl/G7dO/jog7rvQiUfVjVRVYm3a6Q2LwlTwDXfg==" saltValue="q5p6QdMmo0OXoWZrDIkqvQ==" spinCount="100000" sheet="1" objects="1" scenarios="1" selectLockedCells="1" selectUnlockedCells="1"/>
  <mergeCells count="2">
    <mergeCell ref="C2:I2"/>
    <mergeCell ref="B2:B3"/>
  </mergeCells>
  <phoneticPr fontId="3" type="noConversion"/>
  <pageMargins left="0.7" right="0.7" top="0.75" bottom="0.75" header="0.3" footer="0.3"/>
  <ignoredErrors>
    <ignoredError sqref="L52:Y5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1D19A-F95B-7E4F-98DA-097C20FA270E}">
  <sheetPr>
    <tabColor theme="9"/>
  </sheetPr>
  <dimension ref="B2:N25"/>
  <sheetViews>
    <sheetView zoomScaleNormal="100" workbookViewId="0">
      <selection activeCell="B1" sqref="B1"/>
    </sheetView>
  </sheetViews>
  <sheetFormatPr baseColWidth="10" defaultRowHeight="16"/>
  <cols>
    <col min="1" max="1" width="3.1640625" customWidth="1"/>
    <col min="2" max="2" width="20.5" customWidth="1"/>
  </cols>
  <sheetData>
    <row r="2" spans="2:14" ht="16" customHeight="1">
      <c r="B2" s="387" t="s">
        <v>314</v>
      </c>
      <c r="C2" s="389" t="s">
        <v>315</v>
      </c>
      <c r="D2" s="390"/>
      <c r="E2" s="390"/>
      <c r="F2" s="390"/>
      <c r="G2" s="390"/>
      <c r="H2" s="391"/>
      <c r="I2" s="392" t="s">
        <v>316</v>
      </c>
      <c r="J2" s="393"/>
      <c r="K2" s="393"/>
      <c r="L2" s="394"/>
      <c r="M2" s="395" t="s">
        <v>317</v>
      </c>
    </row>
    <row r="3" spans="2:14" ht="34">
      <c r="B3" s="388"/>
      <c r="C3" s="99" t="s">
        <v>77</v>
      </c>
      <c r="D3" s="99" t="s">
        <v>211</v>
      </c>
      <c r="E3" s="99" t="s">
        <v>78</v>
      </c>
      <c r="F3" s="99" t="s">
        <v>80</v>
      </c>
      <c r="G3" s="99" t="s">
        <v>81</v>
      </c>
      <c r="H3" s="99" t="s">
        <v>82</v>
      </c>
      <c r="I3" s="99" t="s">
        <v>221</v>
      </c>
      <c r="J3" s="99" t="s">
        <v>250</v>
      </c>
      <c r="K3" s="99" t="s">
        <v>339</v>
      </c>
      <c r="L3" s="99" t="s">
        <v>251</v>
      </c>
      <c r="M3" s="395"/>
    </row>
    <row r="4" spans="2:14">
      <c r="B4" s="100" t="s">
        <v>17</v>
      </c>
      <c r="C4" s="111">
        <v>1</v>
      </c>
      <c r="D4" s="111">
        <v>1</v>
      </c>
      <c r="E4" s="111">
        <v>1</v>
      </c>
      <c r="F4" s="112">
        <v>1</v>
      </c>
      <c r="G4" s="112">
        <v>0</v>
      </c>
      <c r="H4" s="112">
        <v>1</v>
      </c>
      <c r="I4" s="105">
        <v>1</v>
      </c>
      <c r="J4" s="179"/>
      <c r="K4" s="179"/>
      <c r="L4" s="102">
        <v>1</v>
      </c>
      <c r="M4" s="245">
        <v>100</v>
      </c>
      <c r="N4" s="178"/>
    </row>
    <row r="5" spans="2:14">
      <c r="B5" s="100" t="s">
        <v>16</v>
      </c>
      <c r="C5" s="113">
        <v>0.69</v>
      </c>
      <c r="D5" s="112">
        <v>0</v>
      </c>
      <c r="E5" s="112">
        <v>0.97</v>
      </c>
      <c r="F5" s="114">
        <v>0.19</v>
      </c>
      <c r="G5" s="115">
        <v>0.27</v>
      </c>
      <c r="H5" s="112">
        <v>0</v>
      </c>
      <c r="I5" s="105">
        <v>0.49231531245148558</v>
      </c>
      <c r="J5" s="105">
        <v>0.49429359276700502</v>
      </c>
      <c r="K5" s="105">
        <v>0.19398752094046345</v>
      </c>
      <c r="L5" s="102">
        <v>0.68630283339194897</v>
      </c>
      <c r="M5" s="245">
        <v>68.630283339194904</v>
      </c>
      <c r="N5" s="178"/>
    </row>
    <row r="6" spans="2:14">
      <c r="B6" s="100" t="s">
        <v>45</v>
      </c>
      <c r="C6" s="116">
        <v>0.3</v>
      </c>
      <c r="D6" s="112">
        <v>0</v>
      </c>
      <c r="E6" s="111">
        <v>0.54</v>
      </c>
      <c r="F6" s="112">
        <v>0</v>
      </c>
      <c r="G6" s="118">
        <v>0.09</v>
      </c>
      <c r="H6" s="112">
        <v>0</v>
      </c>
      <c r="I6" s="105">
        <v>0.30213012863729316</v>
      </c>
      <c r="J6" s="105">
        <v>2.2515514646665482E-2</v>
      </c>
      <c r="K6" s="105">
        <v>5.7026813567448674E-3</v>
      </c>
      <c r="L6" s="102">
        <v>0.307832809994038</v>
      </c>
      <c r="M6" s="245">
        <v>30.7832809994038</v>
      </c>
      <c r="N6" s="178"/>
    </row>
    <row r="7" spans="2:14">
      <c r="B7" s="100" t="s">
        <v>49</v>
      </c>
      <c r="C7" s="119">
        <v>0.19</v>
      </c>
      <c r="D7" s="111">
        <v>0.22</v>
      </c>
      <c r="E7" s="111">
        <v>0.4</v>
      </c>
      <c r="F7" s="120">
        <v>7.0000000000000007E-2</v>
      </c>
      <c r="G7" s="121">
        <v>2E-3</v>
      </c>
      <c r="H7" s="122">
        <v>0.25</v>
      </c>
      <c r="I7" s="105">
        <v>0.19251515026211447</v>
      </c>
      <c r="J7" s="105">
        <v>0.10888834521003615</v>
      </c>
      <c r="K7" s="105">
        <v>3.442481598801253E-2</v>
      </c>
      <c r="L7" s="102">
        <v>0.226939966250127</v>
      </c>
      <c r="M7" s="245">
        <v>22.693996625012698</v>
      </c>
      <c r="N7" s="178"/>
    </row>
    <row r="8" spans="2:14">
      <c r="B8" s="100" t="s">
        <v>53</v>
      </c>
      <c r="C8" s="123">
        <v>0.16</v>
      </c>
      <c r="D8" s="112">
        <v>0</v>
      </c>
      <c r="E8" s="112">
        <v>0</v>
      </c>
      <c r="F8" s="112">
        <v>0</v>
      </c>
      <c r="G8" s="112">
        <v>0</v>
      </c>
      <c r="H8" s="112">
        <v>0</v>
      </c>
      <c r="I8" s="105">
        <v>0.14894751421533439</v>
      </c>
      <c r="J8" s="105">
        <v>2.513336649500043E-2</v>
      </c>
      <c r="K8" s="105">
        <v>1.3965292467725609E-2</v>
      </c>
      <c r="L8" s="102">
        <v>0.16291280668305999</v>
      </c>
      <c r="M8" s="245">
        <v>16.291280668305998</v>
      </c>
      <c r="N8" s="178"/>
    </row>
    <row r="9" spans="2:14">
      <c r="B9" s="100" t="s">
        <v>43</v>
      </c>
      <c r="C9" s="124">
        <v>0.06</v>
      </c>
      <c r="D9" s="125">
        <v>0.08</v>
      </c>
      <c r="E9" s="126">
        <v>0.2</v>
      </c>
      <c r="F9" s="127">
        <v>0.05</v>
      </c>
      <c r="G9" s="128">
        <v>0.01</v>
      </c>
      <c r="H9" s="129">
        <v>0.09</v>
      </c>
      <c r="I9" s="109">
        <v>9.5447287161430389E-2</v>
      </c>
      <c r="J9" s="109">
        <v>9.9433303613256169E-2</v>
      </c>
      <c r="K9" s="105">
        <v>2.7110043742824608E-2</v>
      </c>
      <c r="L9" s="104">
        <v>0.122557330904255</v>
      </c>
      <c r="M9" s="245">
        <v>12.255733090425499</v>
      </c>
      <c r="N9" s="178"/>
    </row>
    <row r="10" spans="2:14">
      <c r="B10" s="100" t="s">
        <v>46</v>
      </c>
      <c r="C10" s="111">
        <v>0.99</v>
      </c>
      <c r="D10" s="112">
        <v>0</v>
      </c>
      <c r="E10" s="130">
        <v>0.12</v>
      </c>
      <c r="F10" s="117">
        <v>0</v>
      </c>
      <c r="G10" s="117">
        <v>0</v>
      </c>
      <c r="H10" s="131">
        <v>0.01</v>
      </c>
      <c r="I10" s="109">
        <v>0.10903972240407812</v>
      </c>
      <c r="J10" s="109">
        <v>1.1375259692535111E-2</v>
      </c>
      <c r="K10" s="105">
        <v>2.5441888772278765E-3</v>
      </c>
      <c r="L10" s="104">
        <v>0.111583911281306</v>
      </c>
      <c r="M10" s="245">
        <v>11.158391128130599</v>
      </c>
      <c r="N10" s="178"/>
    </row>
    <row r="11" spans="2:14">
      <c r="B11" s="100" t="s">
        <v>58</v>
      </c>
      <c r="C11" s="132">
        <v>0.1</v>
      </c>
      <c r="D11" s="112">
        <v>0</v>
      </c>
      <c r="E11" s="133">
        <v>0.21</v>
      </c>
      <c r="F11" s="112">
        <v>0</v>
      </c>
      <c r="G11" s="134">
        <v>0</v>
      </c>
      <c r="H11" s="112">
        <v>0</v>
      </c>
      <c r="I11" s="105">
        <v>9.7960613372771857E-2</v>
      </c>
      <c r="J11" s="105">
        <v>1.2020748467000511E-2</v>
      </c>
      <c r="K11" s="105">
        <v>6.6251685985931532E-3</v>
      </c>
      <c r="L11" s="102">
        <v>0.104585781971365</v>
      </c>
      <c r="M11" s="164">
        <v>10.4585781971365</v>
      </c>
      <c r="N11" s="178"/>
    </row>
    <row r="12" spans="2:14">
      <c r="B12" s="100" t="s">
        <v>50</v>
      </c>
      <c r="C12" s="135">
        <v>0.05</v>
      </c>
      <c r="D12" s="136">
        <v>0.04</v>
      </c>
      <c r="E12" s="137">
        <v>0.18</v>
      </c>
      <c r="F12" s="138">
        <v>0.04</v>
      </c>
      <c r="G12" s="131">
        <v>0.01</v>
      </c>
      <c r="H12" s="139">
        <v>0.08</v>
      </c>
      <c r="I12" s="105">
        <v>7.8064268957117461E-2</v>
      </c>
      <c r="J12" s="105">
        <v>8.4122915407156121E-2</v>
      </c>
      <c r="K12" s="105">
        <v>2.5690251395424524E-2</v>
      </c>
      <c r="L12" s="102">
        <v>0.103754520352542</v>
      </c>
      <c r="M12" s="164">
        <v>10.375452035254201</v>
      </c>
      <c r="N12" s="178"/>
    </row>
    <row r="13" spans="2:14" ht="17">
      <c r="B13" s="106" t="s">
        <v>41</v>
      </c>
      <c r="C13" s="140">
        <v>0.05</v>
      </c>
      <c r="D13" s="125">
        <v>0.08</v>
      </c>
      <c r="E13" s="141">
        <v>0.14000000000000001</v>
      </c>
      <c r="F13" s="124">
        <v>0.02</v>
      </c>
      <c r="G13" s="121">
        <v>2E-3</v>
      </c>
      <c r="H13" s="142">
        <v>0.11</v>
      </c>
      <c r="I13" s="105">
        <v>8.6882288778457481E-2</v>
      </c>
      <c r="J13" s="105">
        <v>3.6203129022014578E-2</v>
      </c>
      <c r="K13" s="105">
        <v>9.0801151083299211E-3</v>
      </c>
      <c r="L13" s="102">
        <v>9.5962403886787395E-2</v>
      </c>
      <c r="M13" s="209">
        <v>9.5962403886787389</v>
      </c>
      <c r="N13" s="178"/>
    </row>
    <row r="14" spans="2:14" ht="17">
      <c r="B14" s="106" t="s">
        <v>48</v>
      </c>
      <c r="C14" s="123">
        <v>0.16</v>
      </c>
      <c r="D14" s="143">
        <v>0.01</v>
      </c>
      <c r="E14" s="144">
        <v>0.13</v>
      </c>
      <c r="F14" s="145">
        <v>0.03</v>
      </c>
      <c r="G14" s="117">
        <v>0</v>
      </c>
      <c r="H14" s="146">
        <v>0.08</v>
      </c>
      <c r="I14" s="109">
        <v>6.9751724491603426E-2</v>
      </c>
      <c r="J14" s="109">
        <v>5.0519141192242795E-2</v>
      </c>
      <c r="K14" s="105">
        <v>1.2731923395240374E-2</v>
      </c>
      <c r="L14" s="104">
        <v>8.24836478868438E-2</v>
      </c>
      <c r="M14" s="164">
        <v>8.2483647886843805</v>
      </c>
      <c r="N14" s="178"/>
    </row>
    <row r="15" spans="2:14">
      <c r="B15" s="100" t="s">
        <v>44</v>
      </c>
      <c r="C15" s="159">
        <v>5.0000000000000001E-3</v>
      </c>
      <c r="D15" s="147">
        <v>0.04</v>
      </c>
      <c r="E15" s="137">
        <v>0.18</v>
      </c>
      <c r="F15" s="111">
        <v>0.92</v>
      </c>
      <c r="G15" s="121">
        <v>2E-3</v>
      </c>
      <c r="H15" s="136">
        <v>0.11</v>
      </c>
      <c r="I15" s="109">
        <v>7.1885353578715214E-2</v>
      </c>
      <c r="J15" s="109">
        <v>2.454030597159125E-2</v>
      </c>
      <c r="K15" s="105">
        <v>6.5599734268919907E-3</v>
      </c>
      <c r="L15" s="104">
        <v>7.8445327005607204E-2</v>
      </c>
      <c r="M15" s="164">
        <v>7.8445327005607206</v>
      </c>
      <c r="N15" s="178"/>
    </row>
    <row r="16" spans="2:14">
      <c r="B16" s="100" t="s">
        <v>59</v>
      </c>
      <c r="C16" s="148">
        <v>0.01</v>
      </c>
      <c r="D16" s="140">
        <v>0.01</v>
      </c>
      <c r="E16" s="149">
        <v>0.11</v>
      </c>
      <c r="F16" s="150">
        <v>0.01</v>
      </c>
      <c r="G16" s="123">
        <v>0.06</v>
      </c>
      <c r="H16" s="121">
        <v>4.0000000000000002E-4</v>
      </c>
      <c r="I16" s="105">
        <v>5.1887924253520359E-2</v>
      </c>
      <c r="J16" s="105">
        <v>2.8627136785573451E-2</v>
      </c>
      <c r="K16" s="105">
        <v>7.5863215415322427E-3</v>
      </c>
      <c r="L16" s="102">
        <v>5.9474245795052602E-2</v>
      </c>
      <c r="M16" s="164">
        <v>5.9474245795052605</v>
      </c>
      <c r="N16" s="178"/>
    </row>
    <row r="17" spans="2:14">
      <c r="B17" s="100" t="s">
        <v>55</v>
      </c>
      <c r="C17" s="159">
        <v>2E-3</v>
      </c>
      <c r="D17" s="151">
        <v>0.02</v>
      </c>
      <c r="E17" s="152">
        <v>0.14000000000000001</v>
      </c>
      <c r="F17" s="146">
        <v>0.08</v>
      </c>
      <c r="G17" s="117">
        <v>0</v>
      </c>
      <c r="H17" s="112">
        <v>0</v>
      </c>
      <c r="I17" s="109">
        <v>3.8078058537142766E-2</v>
      </c>
      <c r="J17" s="180"/>
      <c r="K17" s="179"/>
      <c r="L17" s="104">
        <v>3.8078058537142703E-2</v>
      </c>
      <c r="M17" s="164">
        <v>3.8078058537142705</v>
      </c>
      <c r="N17" s="178"/>
    </row>
    <row r="18" spans="2:14">
      <c r="B18" s="100" t="s">
        <v>54</v>
      </c>
      <c r="C18" s="153">
        <v>0.02</v>
      </c>
      <c r="D18" s="154">
        <v>0.03</v>
      </c>
      <c r="E18" s="127">
        <v>0.05</v>
      </c>
      <c r="F18" s="117">
        <v>0</v>
      </c>
      <c r="G18" s="112">
        <v>0</v>
      </c>
      <c r="H18" s="159">
        <v>2E-3</v>
      </c>
      <c r="I18" s="109">
        <v>3.1217890012106158E-2</v>
      </c>
      <c r="J18" s="109">
        <v>2.414819813909555E-2</v>
      </c>
      <c r="K18" s="105">
        <v>6.3139064208705409E-3</v>
      </c>
      <c r="L18" s="104">
        <v>3.7531796432976702E-2</v>
      </c>
      <c r="M18" s="164">
        <v>3.7531796432976701</v>
      </c>
      <c r="N18" s="178"/>
    </row>
    <row r="19" spans="2:14" ht="17">
      <c r="B19" s="108" t="s">
        <v>52</v>
      </c>
      <c r="C19" s="128">
        <v>0.04</v>
      </c>
      <c r="D19" s="155">
        <v>0.02</v>
      </c>
      <c r="E19" s="121">
        <v>2E-3</v>
      </c>
      <c r="F19" s="117">
        <v>0</v>
      </c>
      <c r="G19" s="112">
        <v>0</v>
      </c>
      <c r="H19" s="119">
        <v>7.0000000000000007E-2</v>
      </c>
      <c r="I19" s="109">
        <v>2.3211675951654562E-2</v>
      </c>
      <c r="J19" s="109">
        <v>2.9647778270678942E-3</v>
      </c>
      <c r="K19" s="105">
        <v>7.9812184751573614E-4</v>
      </c>
      <c r="L19" s="104">
        <v>2.4009797799170299E-2</v>
      </c>
      <c r="M19" s="164">
        <v>2.40097977991703</v>
      </c>
      <c r="N19" s="178"/>
    </row>
    <row r="20" spans="2:14" ht="17">
      <c r="B20" s="106" t="s">
        <v>63</v>
      </c>
      <c r="C20" s="159">
        <v>3.0000000000000001E-3</v>
      </c>
      <c r="D20" s="160">
        <v>1E-3</v>
      </c>
      <c r="E20" s="156">
        <v>7.0000000000000007E-2</v>
      </c>
      <c r="F20" s="159">
        <v>1E-3</v>
      </c>
      <c r="G20" s="134">
        <v>0</v>
      </c>
      <c r="H20" s="134">
        <v>0</v>
      </c>
      <c r="I20" s="109">
        <v>9.6837702225187668E-3</v>
      </c>
      <c r="J20" s="109">
        <v>1.8622519964454444E-2</v>
      </c>
      <c r="K20" s="105">
        <v>5.0518949342741315E-3</v>
      </c>
      <c r="L20" s="104">
        <v>1.47356651567929E-2</v>
      </c>
      <c r="M20" s="164">
        <v>1.4735665156792901</v>
      </c>
      <c r="N20" s="178"/>
    </row>
    <row r="21" spans="2:14">
      <c r="B21" s="100" t="s">
        <v>15</v>
      </c>
      <c r="C21" s="159">
        <v>4.0000000000000001E-3</v>
      </c>
      <c r="D21" s="161">
        <v>7.0000000000000001E-3</v>
      </c>
      <c r="E21" s="157">
        <v>0.03</v>
      </c>
      <c r="F21" s="162">
        <v>3.0000000000000001E-3</v>
      </c>
      <c r="G21" s="117">
        <v>0</v>
      </c>
      <c r="H21" s="140">
        <v>0.02</v>
      </c>
      <c r="I21" s="109">
        <v>3.5393718707328174E-3</v>
      </c>
      <c r="J21" s="109">
        <v>1.1541556668183886E-2</v>
      </c>
      <c r="K21" s="105">
        <v>3.7531547288888632E-3</v>
      </c>
      <c r="L21" s="104">
        <v>7.2925265996216801E-3</v>
      </c>
      <c r="M21" s="164">
        <v>0.72925265996216804</v>
      </c>
      <c r="N21" s="178"/>
    </row>
    <row r="22" spans="2:14">
      <c r="B22" s="100" t="s">
        <v>51</v>
      </c>
      <c r="C22" s="158">
        <v>0.01</v>
      </c>
      <c r="D22" s="121">
        <v>2.0000000000000001E-4</v>
      </c>
      <c r="E22" s="145">
        <v>0.03</v>
      </c>
      <c r="F22" s="159">
        <v>1E-3</v>
      </c>
      <c r="G22" s="117">
        <v>0</v>
      </c>
      <c r="H22" s="117">
        <v>0</v>
      </c>
      <c r="I22" s="105">
        <v>3.3370258318536549E-3</v>
      </c>
      <c r="J22" s="105">
        <v>4.1144514901150491E-3</v>
      </c>
      <c r="K22" s="105">
        <v>1.4151988379330852E-3</v>
      </c>
      <c r="L22" s="105">
        <v>4.7522246697867402E-3</v>
      </c>
      <c r="M22" s="164">
        <v>0.47522246697867404</v>
      </c>
      <c r="N22" s="178"/>
    </row>
    <row r="23" spans="2:14">
      <c r="B23" s="70" t="s">
        <v>57</v>
      </c>
      <c r="C23" s="112">
        <v>0</v>
      </c>
      <c r="D23" s="112">
        <v>0</v>
      </c>
      <c r="E23" s="153">
        <v>0.01</v>
      </c>
      <c r="F23" s="117">
        <v>0</v>
      </c>
      <c r="G23" s="117">
        <v>0</v>
      </c>
      <c r="H23" s="112">
        <v>0</v>
      </c>
      <c r="I23" s="177">
        <v>0</v>
      </c>
      <c r="J23" s="109">
        <v>1.0835063904506238E-3</v>
      </c>
      <c r="K23" s="105">
        <v>3.3447527695219803E-4</v>
      </c>
      <c r="L23" s="110">
        <v>3.3447527695219798E-4</v>
      </c>
      <c r="M23" s="164">
        <v>3.3447527695219796E-2</v>
      </c>
      <c r="N23" s="178"/>
    </row>
    <row r="25" spans="2:14">
      <c r="B25" s="173" t="s">
        <v>338</v>
      </c>
    </row>
  </sheetData>
  <sheetProtection algorithmName="SHA-512" hashValue="kxO1/CYg8reXqkINVdfMbenkJl+30uzXsGu8g8ak2z6tSLNONuWXSzrHaU8q/O/D5Cf0Jg+2myOAGcJAoD5EtQ==" saltValue="NmJT5jhdYDQt9pIBqu9HwQ==" spinCount="100000" sheet="1" objects="1" scenarios="1" selectLockedCells="1" selectUnlockedCells="1"/>
  <mergeCells count="4">
    <mergeCell ref="B2:B3"/>
    <mergeCell ref="C2:H2"/>
    <mergeCell ref="I2:L2"/>
    <mergeCell ref="M2:M3"/>
  </mergeCells>
  <phoneticPr fontId="3" type="noConversion"/>
  <conditionalFormatting sqref="I4:I22">
    <cfRule type="colorScale" priority="14">
      <colorScale>
        <cfvo type="min"/>
        <cfvo type="percentile" val="90"/>
        <color rgb="FFFFFFFF"/>
        <color rgb="FFFFC857"/>
      </colorScale>
    </cfRule>
    <cfRule type="colorScale" priority="15">
      <colorScale>
        <cfvo type="min"/>
        <cfvo type="max"/>
        <color rgb="FFFFFFFF"/>
        <color rgb="FF516F2D"/>
      </colorScale>
    </cfRule>
    <cfRule type="colorScale" priority="16">
      <colorScale>
        <cfvo type="min"/>
        <cfvo type="percentile" val="75"/>
        <color rgb="FFFFFFFF"/>
        <color rgb="FFA8CB7C"/>
      </colorScale>
    </cfRule>
    <cfRule type="colorScale" priority="17">
      <colorScale>
        <cfvo type="percent" val="10"/>
        <cfvo type="percent" val="90"/>
        <color rgb="FFFFFFFF"/>
        <color rgb="FFA8CB7C"/>
      </colorScale>
    </cfRule>
    <cfRule type="colorScale" priority="18">
      <colorScale>
        <cfvo type="min"/>
        <cfvo type="max"/>
        <color rgb="FFF2F2F2"/>
        <color rgb="FFA8CB7C"/>
      </colorScale>
    </cfRule>
    <cfRule type="colorScale" priority="19">
      <colorScale>
        <cfvo type="percentile" val="10"/>
        <cfvo type="percentile" val="90"/>
        <color rgb="FFFCFCFF"/>
        <color rgb="FF63BE7B"/>
      </colorScale>
    </cfRule>
    <cfRule type="colorScale" priority="20">
      <colorScale>
        <cfvo type="min"/>
        <cfvo type="max"/>
        <color rgb="FFEEB6AA"/>
        <color rgb="FFA8CB7C"/>
      </colorScale>
    </cfRule>
    <cfRule type="colorScale" priority="21">
      <colorScale>
        <cfvo type="percentile" val="10"/>
        <cfvo type="percentile" val="90"/>
        <color rgb="FFFFF0CA"/>
        <color rgb="FFA8CB7C"/>
      </colorScale>
    </cfRule>
    <cfRule type="colorScale" priority="22">
      <colorScale>
        <cfvo type="min"/>
        <cfvo type="max"/>
        <color rgb="FFFFF0CA"/>
        <color rgb="FFC5DCA9"/>
      </colorScale>
    </cfRule>
    <cfRule type="colorScale" priority="23">
      <colorScale>
        <cfvo type="percentile" val="25"/>
        <cfvo type="percentile" val="75"/>
        <color rgb="FFFF7128"/>
        <color rgb="FFC5DCA9"/>
      </colorScale>
    </cfRule>
    <cfRule type="colorScale" priority="24">
      <colorScale>
        <cfvo type="percentile" val="10"/>
        <cfvo type="percentile" val="50"/>
        <cfvo type="percentile" val="90"/>
        <color rgb="FFFF7128"/>
        <color rgb="FFFFEB84"/>
        <color rgb="FFA8CB7C"/>
      </colorScale>
    </cfRule>
    <cfRule type="colorScale" priority="25">
      <colorScale>
        <cfvo type="min"/>
        <cfvo type="max"/>
        <color rgb="FFFCFCFF"/>
        <color rgb="FF63BE7B"/>
      </colorScale>
    </cfRule>
  </conditionalFormatting>
  <conditionalFormatting sqref="J5:J23">
    <cfRule type="colorScale" priority="13">
      <colorScale>
        <cfvo type="min"/>
        <cfvo type="percentile" val="90"/>
        <color rgb="FFFFFFFF"/>
        <color rgb="FFFFC857"/>
      </colorScale>
    </cfRule>
  </conditionalFormatting>
  <conditionalFormatting sqref="K5:K23">
    <cfRule type="colorScale" priority="26">
      <colorScale>
        <cfvo type="min"/>
        <cfvo type="percentile" val="90"/>
        <color rgb="FFFFFFFF"/>
        <color rgb="FFFFC857"/>
      </colorScale>
    </cfRule>
  </conditionalFormatting>
  <conditionalFormatting sqref="L4:L23">
    <cfRule type="colorScale" priority="12">
      <colorScale>
        <cfvo type="min"/>
        <cfvo type="percentile" val="90"/>
        <color rgb="FFFFFFFF"/>
        <color rgb="FFFFC857"/>
      </colorScale>
    </cfRule>
  </conditionalFormatting>
  <conditionalFormatting sqref="M4:M23">
    <cfRule type="colorScale" priority="1">
      <colorScale>
        <cfvo type="min"/>
        <cfvo type="percentile" val="50"/>
        <cfvo type="max"/>
        <color theme="0"/>
        <color theme="5" tint="0.59999389629810485"/>
        <color theme="5"/>
      </colorScale>
    </cfRule>
  </conditionalFormatting>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FF509-5B1E-7248-BB12-0C5A61A35E32}">
  <sheetPr>
    <tabColor theme="9"/>
  </sheetPr>
  <dimension ref="B1:L23"/>
  <sheetViews>
    <sheetView workbookViewId="0">
      <selection activeCell="B1" sqref="B1"/>
    </sheetView>
  </sheetViews>
  <sheetFormatPr baseColWidth="10" defaultRowHeight="16"/>
  <cols>
    <col min="1" max="1" width="2.1640625" customWidth="1"/>
    <col min="2" max="2" width="15.33203125" customWidth="1"/>
  </cols>
  <sheetData>
    <row r="1" spans="2:12" ht="9" customHeight="1"/>
    <row r="2" spans="2:12" ht="15" customHeight="1">
      <c r="B2" s="396" t="s">
        <v>314</v>
      </c>
      <c r="C2" s="397" t="s">
        <v>318</v>
      </c>
      <c r="D2" s="397"/>
      <c r="E2" s="397"/>
      <c r="F2" s="397"/>
      <c r="G2" s="397"/>
      <c r="H2" s="397" t="s">
        <v>319</v>
      </c>
      <c r="I2" s="397"/>
      <c r="J2" s="397"/>
      <c r="K2" s="397" t="s">
        <v>69</v>
      </c>
      <c r="L2" s="397" t="s">
        <v>317</v>
      </c>
    </row>
    <row r="3" spans="2:12" ht="17">
      <c r="B3" s="396"/>
      <c r="C3" s="97" t="s">
        <v>320</v>
      </c>
      <c r="D3" s="97" t="s">
        <v>321</v>
      </c>
      <c r="E3" s="97" t="s">
        <v>322</v>
      </c>
      <c r="F3" s="97" t="s">
        <v>323</v>
      </c>
      <c r="G3" s="97" t="s">
        <v>324</v>
      </c>
      <c r="H3" s="97" t="s">
        <v>325</v>
      </c>
      <c r="I3" s="97" t="s">
        <v>326</v>
      </c>
      <c r="J3" s="97" t="s">
        <v>323</v>
      </c>
      <c r="K3" s="397"/>
      <c r="L3" s="397"/>
    </row>
    <row r="4" spans="2:12" ht="17">
      <c r="B4" s="98" t="s">
        <v>45</v>
      </c>
      <c r="C4" s="98" t="s">
        <v>327</v>
      </c>
      <c r="D4" s="98" t="s">
        <v>327</v>
      </c>
      <c r="E4" s="98" t="s">
        <v>327</v>
      </c>
      <c r="F4" s="98" t="s">
        <v>327</v>
      </c>
      <c r="G4" s="98" t="s">
        <v>327</v>
      </c>
      <c r="H4" s="98" t="s">
        <v>327</v>
      </c>
      <c r="I4" s="98" t="s">
        <v>327</v>
      </c>
      <c r="J4" s="98" t="s">
        <v>327</v>
      </c>
      <c r="K4" s="98">
        <v>1</v>
      </c>
      <c r="L4" s="245">
        <f t="shared" ref="L4:L22" si="0">K4*100</f>
        <v>100</v>
      </c>
    </row>
    <row r="5" spans="2:12" ht="17">
      <c r="B5" s="98" t="s">
        <v>41</v>
      </c>
      <c r="C5" s="98" t="s">
        <v>327</v>
      </c>
      <c r="D5" s="98" t="s">
        <v>327</v>
      </c>
      <c r="E5" s="98" t="s">
        <v>327</v>
      </c>
      <c r="F5" s="98" t="s">
        <v>327</v>
      </c>
      <c r="G5" s="98" t="s">
        <v>327</v>
      </c>
      <c r="H5" s="98"/>
      <c r="I5" s="98" t="s">
        <v>327</v>
      </c>
      <c r="J5" s="98" t="s">
        <v>327</v>
      </c>
      <c r="K5" s="98">
        <v>0.875</v>
      </c>
      <c r="L5" s="245">
        <f t="shared" si="0"/>
        <v>87.5</v>
      </c>
    </row>
    <row r="6" spans="2:12" ht="17">
      <c r="B6" s="98" t="s">
        <v>53</v>
      </c>
      <c r="C6" s="98" t="s">
        <v>327</v>
      </c>
      <c r="D6" s="98" t="s">
        <v>327</v>
      </c>
      <c r="E6" s="98" t="s">
        <v>327</v>
      </c>
      <c r="F6" s="98" t="s">
        <v>327</v>
      </c>
      <c r="G6" s="98" t="s">
        <v>327</v>
      </c>
      <c r="H6" s="98" t="s">
        <v>327</v>
      </c>
      <c r="I6" s="98" t="s">
        <v>327</v>
      </c>
      <c r="J6" s="98"/>
      <c r="K6" s="98">
        <v>0.875</v>
      </c>
      <c r="L6" s="245">
        <f t="shared" si="0"/>
        <v>87.5</v>
      </c>
    </row>
    <row r="7" spans="2:12" ht="17">
      <c r="B7" s="98" t="s">
        <v>48</v>
      </c>
      <c r="C7" s="98" t="s">
        <v>327</v>
      </c>
      <c r="D7" s="98" t="s">
        <v>327</v>
      </c>
      <c r="E7" s="98" t="s">
        <v>327</v>
      </c>
      <c r="F7" s="163"/>
      <c r="G7" s="98" t="s">
        <v>327</v>
      </c>
      <c r="H7" s="98" t="s">
        <v>327</v>
      </c>
      <c r="I7" s="98" t="s">
        <v>327</v>
      </c>
      <c r="J7" s="98" t="s">
        <v>327</v>
      </c>
      <c r="K7" s="98">
        <v>0.875</v>
      </c>
      <c r="L7" s="245">
        <f t="shared" si="0"/>
        <v>87.5</v>
      </c>
    </row>
    <row r="8" spans="2:12" ht="17">
      <c r="B8" s="98" t="s">
        <v>49</v>
      </c>
      <c r="C8" s="98" t="s">
        <v>327</v>
      </c>
      <c r="D8" s="98"/>
      <c r="E8" s="98" t="s">
        <v>327</v>
      </c>
      <c r="F8" s="98" t="s">
        <v>327</v>
      </c>
      <c r="G8" s="98" t="s">
        <v>327</v>
      </c>
      <c r="H8" s="98" t="s">
        <v>327</v>
      </c>
      <c r="I8" s="98" t="s">
        <v>327</v>
      </c>
      <c r="J8" s="98" t="s">
        <v>327</v>
      </c>
      <c r="K8" s="98">
        <v>0.875</v>
      </c>
      <c r="L8" s="245">
        <f t="shared" si="0"/>
        <v>87.5</v>
      </c>
    </row>
    <row r="9" spans="2:12" ht="17">
      <c r="B9" s="98" t="s">
        <v>16</v>
      </c>
      <c r="C9" s="98" t="s">
        <v>327</v>
      </c>
      <c r="D9" s="98" t="s">
        <v>327</v>
      </c>
      <c r="E9" s="98" t="s">
        <v>327</v>
      </c>
      <c r="F9" s="98" t="s">
        <v>327</v>
      </c>
      <c r="G9" s="98" t="s">
        <v>327</v>
      </c>
      <c r="H9" s="98"/>
      <c r="I9" s="98" t="s">
        <v>327</v>
      </c>
      <c r="J9" s="98" t="s">
        <v>327</v>
      </c>
      <c r="K9" s="98">
        <v>0.875</v>
      </c>
      <c r="L9" s="245">
        <f t="shared" si="0"/>
        <v>87.5</v>
      </c>
    </row>
    <row r="10" spans="2:12" ht="17">
      <c r="B10" s="98" t="s">
        <v>46</v>
      </c>
      <c r="C10" s="98" t="s">
        <v>327</v>
      </c>
      <c r="D10" s="98" t="s">
        <v>327</v>
      </c>
      <c r="E10" s="98" t="s">
        <v>327</v>
      </c>
      <c r="F10" s="98"/>
      <c r="G10" s="98" t="s">
        <v>327</v>
      </c>
      <c r="H10" s="98"/>
      <c r="I10" s="98" t="s">
        <v>327</v>
      </c>
      <c r="J10" s="98" t="s">
        <v>327</v>
      </c>
      <c r="K10" s="98">
        <v>0.75</v>
      </c>
      <c r="L10" s="245">
        <f t="shared" si="0"/>
        <v>75</v>
      </c>
    </row>
    <row r="11" spans="2:12" ht="17">
      <c r="B11" s="98" t="s">
        <v>58</v>
      </c>
      <c r="C11" s="98" t="s">
        <v>327</v>
      </c>
      <c r="D11" s="98" t="s">
        <v>327</v>
      </c>
      <c r="E11" s="98"/>
      <c r="F11" s="98" t="s">
        <v>327</v>
      </c>
      <c r="G11" s="98" t="s">
        <v>327</v>
      </c>
      <c r="H11" s="98"/>
      <c r="I11" s="98" t="s">
        <v>327</v>
      </c>
      <c r="J11" s="98" t="s">
        <v>327</v>
      </c>
      <c r="K11" s="98">
        <v>0.75</v>
      </c>
      <c r="L11" s="164">
        <f t="shared" si="0"/>
        <v>75</v>
      </c>
    </row>
    <row r="12" spans="2:12" ht="17">
      <c r="B12" s="98" t="s">
        <v>15</v>
      </c>
      <c r="C12" s="98" t="s">
        <v>327</v>
      </c>
      <c r="D12" s="98"/>
      <c r="E12" s="98"/>
      <c r="F12" s="98" t="s">
        <v>327</v>
      </c>
      <c r="G12" s="98" t="s">
        <v>327</v>
      </c>
      <c r="H12" s="98"/>
      <c r="I12" s="98" t="s">
        <v>327</v>
      </c>
      <c r="J12" s="98" t="s">
        <v>327</v>
      </c>
      <c r="K12" s="98">
        <v>0.625</v>
      </c>
      <c r="L12" s="164">
        <f t="shared" si="0"/>
        <v>62.5</v>
      </c>
    </row>
    <row r="13" spans="2:12" ht="17">
      <c r="B13" s="98" t="s">
        <v>44</v>
      </c>
      <c r="C13" s="98"/>
      <c r="D13" s="98" t="s">
        <v>327</v>
      </c>
      <c r="E13" s="98" t="s">
        <v>327</v>
      </c>
      <c r="F13" s="98" t="s">
        <v>327</v>
      </c>
      <c r="G13" s="98" t="s">
        <v>327</v>
      </c>
      <c r="H13" s="98"/>
      <c r="I13" s="98" t="s">
        <v>327</v>
      </c>
      <c r="J13" s="98"/>
      <c r="K13" s="98">
        <v>0.625</v>
      </c>
      <c r="L13" s="209">
        <f t="shared" si="0"/>
        <v>62.5</v>
      </c>
    </row>
    <row r="14" spans="2:12" ht="21" customHeight="1">
      <c r="B14" s="98" t="s">
        <v>50</v>
      </c>
      <c r="C14" s="98" t="s">
        <v>327</v>
      </c>
      <c r="D14" s="98"/>
      <c r="E14" s="98"/>
      <c r="F14" s="98" t="s">
        <v>327</v>
      </c>
      <c r="G14" s="98" t="s">
        <v>327</v>
      </c>
      <c r="H14" s="98"/>
      <c r="I14" s="98" t="s">
        <v>327</v>
      </c>
      <c r="J14" s="98" t="s">
        <v>327</v>
      </c>
      <c r="K14" s="98">
        <v>0.625</v>
      </c>
      <c r="L14" s="164">
        <f t="shared" si="0"/>
        <v>62.5</v>
      </c>
    </row>
    <row r="15" spans="2:12" ht="17">
      <c r="B15" s="98" t="s">
        <v>55</v>
      </c>
      <c r="C15" s="98"/>
      <c r="D15" s="98" t="s">
        <v>327</v>
      </c>
      <c r="E15" s="98" t="s">
        <v>327</v>
      </c>
      <c r="F15" s="98"/>
      <c r="G15" s="98" t="s">
        <v>327</v>
      </c>
      <c r="H15" s="98"/>
      <c r="I15" s="98" t="s">
        <v>327</v>
      </c>
      <c r="J15" s="98" t="s">
        <v>327</v>
      </c>
      <c r="K15" s="98">
        <v>0.625</v>
      </c>
      <c r="L15" s="164">
        <f t="shared" si="0"/>
        <v>62.5</v>
      </c>
    </row>
    <row r="16" spans="2:12" ht="17">
      <c r="B16" s="98" t="s">
        <v>43</v>
      </c>
      <c r="C16" s="98" t="s">
        <v>327</v>
      </c>
      <c r="D16" s="98"/>
      <c r="E16" s="98" t="s">
        <v>327</v>
      </c>
      <c r="F16" s="98" t="s">
        <v>327</v>
      </c>
      <c r="G16" s="98" t="s">
        <v>327</v>
      </c>
      <c r="H16" s="98"/>
      <c r="I16" s="98"/>
      <c r="J16" s="98"/>
      <c r="K16" s="98">
        <v>0.5</v>
      </c>
      <c r="L16" s="164">
        <f t="shared" si="0"/>
        <v>50</v>
      </c>
    </row>
    <row r="17" spans="2:12" ht="17">
      <c r="B17" s="98" t="s">
        <v>51</v>
      </c>
      <c r="C17" s="98" t="s">
        <v>327</v>
      </c>
      <c r="D17" s="98"/>
      <c r="E17" s="98" t="s">
        <v>327</v>
      </c>
      <c r="F17" s="98"/>
      <c r="G17" s="98" t="s">
        <v>327</v>
      </c>
      <c r="H17" s="98"/>
      <c r="I17" s="98"/>
      <c r="J17" s="98"/>
      <c r="K17" s="98">
        <v>0.375</v>
      </c>
      <c r="L17" s="164">
        <f t="shared" si="0"/>
        <v>37.5</v>
      </c>
    </row>
    <row r="18" spans="2:12" ht="17">
      <c r="B18" s="98" t="s">
        <v>52</v>
      </c>
      <c r="C18" s="98"/>
      <c r="D18" s="98"/>
      <c r="E18" s="98" t="s">
        <v>327</v>
      </c>
      <c r="F18" s="98"/>
      <c r="G18" s="98" t="s">
        <v>327</v>
      </c>
      <c r="H18" s="98"/>
      <c r="I18" s="98"/>
      <c r="J18" s="98" t="s">
        <v>327</v>
      </c>
      <c r="K18" s="98">
        <v>0.375</v>
      </c>
      <c r="L18" s="164">
        <f t="shared" si="0"/>
        <v>37.5</v>
      </c>
    </row>
    <row r="19" spans="2:12" ht="17">
      <c r="B19" s="98" t="s">
        <v>17</v>
      </c>
      <c r="C19" s="98"/>
      <c r="D19" s="98"/>
      <c r="E19" s="98" t="s">
        <v>327</v>
      </c>
      <c r="F19" s="98" t="s">
        <v>327</v>
      </c>
      <c r="G19" s="98" t="s">
        <v>327</v>
      </c>
      <c r="H19" s="98"/>
      <c r="I19" s="98"/>
      <c r="J19" s="98"/>
      <c r="K19" s="98">
        <v>0.375</v>
      </c>
      <c r="L19" s="164">
        <f t="shared" si="0"/>
        <v>37.5</v>
      </c>
    </row>
    <row r="20" spans="2:12" ht="17">
      <c r="B20" s="98" t="s">
        <v>59</v>
      </c>
      <c r="C20" s="98" t="s">
        <v>327</v>
      </c>
      <c r="D20" s="98"/>
      <c r="E20" s="98"/>
      <c r="F20" s="98"/>
      <c r="G20" s="98" t="s">
        <v>327</v>
      </c>
      <c r="H20" s="98"/>
      <c r="I20" s="98"/>
      <c r="J20" s="98"/>
      <c r="K20" s="98">
        <v>0.25</v>
      </c>
      <c r="L20" s="164">
        <f t="shared" si="0"/>
        <v>25</v>
      </c>
    </row>
    <row r="21" spans="2:12" ht="17">
      <c r="B21" s="98" t="s">
        <v>54</v>
      </c>
      <c r="C21" s="98"/>
      <c r="D21" s="98"/>
      <c r="E21" s="98"/>
      <c r="F21" s="98"/>
      <c r="G21" s="98" t="s">
        <v>327</v>
      </c>
      <c r="H21" s="98"/>
      <c r="I21" s="98" t="s">
        <v>327</v>
      </c>
      <c r="J21" s="98"/>
      <c r="K21" s="98">
        <v>0.25</v>
      </c>
      <c r="L21" s="164">
        <f t="shared" si="0"/>
        <v>25</v>
      </c>
    </row>
    <row r="22" spans="2:12" ht="17">
      <c r="B22" s="98" t="s">
        <v>63</v>
      </c>
      <c r="C22" s="98"/>
      <c r="D22" s="98"/>
      <c r="E22" s="98"/>
      <c r="F22" s="98"/>
      <c r="G22" s="98" t="s">
        <v>327</v>
      </c>
      <c r="H22" s="98"/>
      <c r="I22" s="98"/>
      <c r="J22" s="98"/>
      <c r="K22" s="98">
        <v>0.125</v>
      </c>
      <c r="L22" s="164">
        <f t="shared" si="0"/>
        <v>12.5</v>
      </c>
    </row>
    <row r="23" spans="2:12" ht="17">
      <c r="B23" s="98" t="s">
        <v>57</v>
      </c>
      <c r="C23" s="98"/>
      <c r="D23" s="98"/>
      <c r="E23" s="98"/>
      <c r="F23" s="98"/>
      <c r="G23" s="98"/>
      <c r="H23" s="98"/>
      <c r="I23" s="98"/>
      <c r="J23" s="98"/>
      <c r="K23" s="98"/>
      <c r="L23" s="164">
        <v>0</v>
      </c>
    </row>
  </sheetData>
  <sheetProtection algorithmName="SHA-512" hashValue="c/mxaxdVsC7V77Z4PEBwGhfhK8vkAljQ0aopCNMUdVk+dpvcTk8fN5/RXJwhq6DQW88TUHnQjSTqEsGM0ymTrw==" saltValue="QYwkUnPd4FtxKlFmHuMTgg==" spinCount="100000" sheet="1" objects="1" scenarios="1" selectLockedCells="1" selectUnlockedCells="1"/>
  <mergeCells count="5">
    <mergeCell ref="B2:B3"/>
    <mergeCell ref="C2:G2"/>
    <mergeCell ref="H2:J2"/>
    <mergeCell ref="K2:K3"/>
    <mergeCell ref="L2:L3"/>
  </mergeCells>
  <phoneticPr fontId="3" type="noConversion"/>
  <conditionalFormatting sqref="C4:J23">
    <cfRule type="containsBlanks" dxfId="6" priority="4">
      <formula>LEN(TRIM(C4))=0</formula>
    </cfRule>
  </conditionalFormatting>
  <conditionalFormatting sqref="K23">
    <cfRule type="containsBlanks" dxfId="5" priority="3">
      <formula>LEN(TRIM(K23))=0</formula>
    </cfRule>
  </conditionalFormatting>
  <conditionalFormatting sqref="L4:L23">
    <cfRule type="colorScale" priority="1">
      <colorScale>
        <cfvo type="min"/>
        <cfvo type="percentile" val="50"/>
        <cfvo type="max"/>
        <color theme="0"/>
        <color theme="5" tint="0.59999389629810485"/>
        <color theme="5"/>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5A5FA-3FDE-BC4D-B3AF-E8309B6D8967}">
  <sheetPr>
    <tabColor theme="6" tint="0.79998168889431442"/>
  </sheetPr>
  <dimension ref="B1:M23"/>
  <sheetViews>
    <sheetView zoomScaleNormal="100" workbookViewId="0">
      <selection activeCell="D30" sqref="D30"/>
    </sheetView>
  </sheetViews>
  <sheetFormatPr baseColWidth="10" defaultRowHeight="16"/>
  <cols>
    <col min="1" max="1" width="1.83203125" customWidth="1"/>
    <col min="2" max="2" width="18.83203125" customWidth="1"/>
    <col min="11" max="11" width="20.6640625" customWidth="1"/>
    <col min="12" max="12" width="16.1640625" customWidth="1"/>
  </cols>
  <sheetData>
    <row r="1" spans="2:13" ht="11" customHeight="1"/>
    <row r="2" spans="2:13">
      <c r="B2" s="395" t="s">
        <v>76</v>
      </c>
      <c r="C2" s="395" t="s">
        <v>328</v>
      </c>
      <c r="D2" s="395"/>
      <c r="E2" s="395"/>
      <c r="F2" s="395"/>
      <c r="G2" s="395"/>
      <c r="H2" s="395" t="s">
        <v>329</v>
      </c>
      <c r="I2" s="395"/>
      <c r="J2" s="395"/>
      <c r="K2" s="395" t="s">
        <v>330</v>
      </c>
      <c r="L2" s="395" t="s">
        <v>331</v>
      </c>
      <c r="M2" s="395" t="s">
        <v>317</v>
      </c>
    </row>
    <row r="3" spans="2:13" ht="17">
      <c r="B3" s="395"/>
      <c r="C3" s="99" t="s">
        <v>320</v>
      </c>
      <c r="D3" s="99" t="s">
        <v>321</v>
      </c>
      <c r="E3" s="99" t="s">
        <v>322</v>
      </c>
      <c r="F3" s="99" t="s">
        <v>323</v>
      </c>
      <c r="G3" s="99" t="s">
        <v>324</v>
      </c>
      <c r="H3" s="99" t="s">
        <v>325</v>
      </c>
      <c r="I3" s="99" t="s">
        <v>326</v>
      </c>
      <c r="J3" s="99" t="s">
        <v>323</v>
      </c>
      <c r="K3" s="395"/>
      <c r="L3" s="395"/>
      <c r="M3" s="395"/>
    </row>
    <row r="4" spans="2:13">
      <c r="B4" s="70" t="s">
        <v>17</v>
      </c>
      <c r="C4" s="165"/>
      <c r="D4" s="165"/>
      <c r="E4" s="165">
        <v>126</v>
      </c>
      <c r="F4" s="165">
        <v>119</v>
      </c>
      <c r="G4" s="165">
        <v>124</v>
      </c>
      <c r="H4" s="165"/>
      <c r="I4" s="165"/>
      <c r="J4" s="165"/>
      <c r="K4" s="165">
        <v>124</v>
      </c>
      <c r="L4" s="165">
        <v>133</v>
      </c>
      <c r="M4" s="245">
        <v>100</v>
      </c>
    </row>
    <row r="5" spans="2:13">
      <c r="B5" s="70" t="s">
        <v>59</v>
      </c>
      <c r="C5" s="165">
        <v>109</v>
      </c>
      <c r="D5" s="165"/>
      <c r="E5" s="165"/>
      <c r="F5" s="165"/>
      <c r="G5" s="165">
        <v>135</v>
      </c>
      <c r="H5" s="165"/>
      <c r="I5" s="165"/>
      <c r="J5" s="165"/>
      <c r="K5" s="165">
        <v>130</v>
      </c>
      <c r="L5" s="165">
        <v>116</v>
      </c>
      <c r="M5" s="245">
        <v>87.2340425531915</v>
      </c>
    </row>
    <row r="6" spans="2:13">
      <c r="B6" s="70" t="s">
        <v>16</v>
      </c>
      <c r="C6" s="165">
        <v>142</v>
      </c>
      <c r="D6" s="165">
        <v>140</v>
      </c>
      <c r="E6" s="165">
        <v>137</v>
      </c>
      <c r="F6" s="165">
        <v>123</v>
      </c>
      <c r="G6" s="165">
        <v>139</v>
      </c>
      <c r="H6" s="165"/>
      <c r="I6" s="165">
        <v>219</v>
      </c>
      <c r="J6" s="165">
        <v>252</v>
      </c>
      <c r="K6" s="165">
        <v>136</v>
      </c>
      <c r="L6" s="165">
        <v>132</v>
      </c>
      <c r="M6" s="245">
        <v>74.468085106382972</v>
      </c>
    </row>
    <row r="7" spans="2:13">
      <c r="B7" s="70" t="s">
        <v>43</v>
      </c>
      <c r="C7" s="165">
        <v>156</v>
      </c>
      <c r="D7" s="165"/>
      <c r="E7" s="165">
        <v>115</v>
      </c>
      <c r="F7" s="165">
        <v>130</v>
      </c>
      <c r="G7" s="165">
        <v>138</v>
      </c>
      <c r="H7" s="165"/>
      <c r="I7" s="165"/>
      <c r="J7" s="165"/>
      <c r="K7" s="165">
        <v>137</v>
      </c>
      <c r="L7" s="165">
        <v>151</v>
      </c>
      <c r="M7" s="245">
        <v>72.340425531914903</v>
      </c>
    </row>
    <row r="8" spans="2:13">
      <c r="B8" s="70" t="s">
        <v>41</v>
      </c>
      <c r="C8" s="165">
        <v>166</v>
      </c>
      <c r="D8" s="165">
        <v>142</v>
      </c>
      <c r="E8" s="165">
        <v>169</v>
      </c>
      <c r="F8" s="165">
        <v>182</v>
      </c>
      <c r="G8" s="165">
        <v>137</v>
      </c>
      <c r="H8" s="165"/>
      <c r="I8" s="165">
        <v>206</v>
      </c>
      <c r="J8" s="165">
        <v>190</v>
      </c>
      <c r="K8" s="165">
        <v>143</v>
      </c>
      <c r="L8" s="165">
        <v>158</v>
      </c>
      <c r="M8" s="245">
        <v>59.574468085106382</v>
      </c>
    </row>
    <row r="9" spans="2:13">
      <c r="B9" s="70" t="s">
        <v>58</v>
      </c>
      <c r="C9" s="165">
        <v>151</v>
      </c>
      <c r="D9" s="165">
        <v>165</v>
      </c>
      <c r="E9" s="165"/>
      <c r="F9" s="165">
        <v>129</v>
      </c>
      <c r="G9" s="165">
        <v>143</v>
      </c>
      <c r="H9" s="165"/>
      <c r="I9" s="165">
        <v>158</v>
      </c>
      <c r="J9" s="165">
        <v>148</v>
      </c>
      <c r="K9" s="165">
        <v>145</v>
      </c>
      <c r="L9" s="165">
        <v>124</v>
      </c>
      <c r="M9" s="245">
        <v>55.319148936170215</v>
      </c>
    </row>
    <row r="10" spans="2:13">
      <c r="B10" s="70" t="s">
        <v>50</v>
      </c>
      <c r="C10" s="165">
        <v>144</v>
      </c>
      <c r="D10" s="165"/>
      <c r="E10" s="165"/>
      <c r="F10" s="165">
        <v>114</v>
      </c>
      <c r="G10" s="165">
        <v>150</v>
      </c>
      <c r="H10" s="165"/>
      <c r="I10" s="165">
        <v>162</v>
      </c>
      <c r="J10" s="165">
        <v>204</v>
      </c>
      <c r="K10" s="165">
        <v>145</v>
      </c>
      <c r="L10" s="165">
        <v>161</v>
      </c>
      <c r="M10" s="245">
        <v>55.319148936170215</v>
      </c>
    </row>
    <row r="11" spans="2:13">
      <c r="B11" s="70" t="s">
        <v>52</v>
      </c>
      <c r="C11" s="165"/>
      <c r="D11" s="165"/>
      <c r="E11" s="165">
        <v>135</v>
      </c>
      <c r="F11" s="165"/>
      <c r="G11" s="165">
        <v>155</v>
      </c>
      <c r="H11" s="165"/>
      <c r="I11" s="165"/>
      <c r="J11" s="165">
        <v>0</v>
      </c>
      <c r="K11" s="165">
        <v>146</v>
      </c>
      <c r="L11" s="165">
        <v>140</v>
      </c>
      <c r="M11" s="164">
        <v>53.191489361702125</v>
      </c>
    </row>
    <row r="12" spans="2:13">
      <c r="B12" s="70" t="s">
        <v>51</v>
      </c>
      <c r="C12" s="165">
        <v>143</v>
      </c>
      <c r="D12" s="165"/>
      <c r="E12" s="165"/>
      <c r="F12" s="165"/>
      <c r="G12" s="165">
        <v>148</v>
      </c>
      <c r="H12" s="165"/>
      <c r="I12" s="165"/>
      <c r="J12" s="165"/>
      <c r="K12" s="165">
        <v>147</v>
      </c>
      <c r="L12" s="165">
        <v>140</v>
      </c>
      <c r="M12" s="164">
        <v>51.063829787234042</v>
      </c>
    </row>
    <row r="13" spans="2:13">
      <c r="B13" s="70" t="s">
        <v>46</v>
      </c>
      <c r="C13" s="165">
        <v>144</v>
      </c>
      <c r="D13" s="165">
        <v>134</v>
      </c>
      <c r="E13" s="165">
        <v>150</v>
      </c>
      <c r="F13" s="165"/>
      <c r="G13" s="165">
        <v>159</v>
      </c>
      <c r="H13" s="165"/>
      <c r="I13" s="165">
        <v>169</v>
      </c>
      <c r="J13" s="165">
        <v>232</v>
      </c>
      <c r="K13" s="165">
        <v>148</v>
      </c>
      <c r="L13" s="165">
        <v>123</v>
      </c>
      <c r="M13" s="209">
        <v>48.936170212765958</v>
      </c>
    </row>
    <row r="14" spans="2:13">
      <c r="B14" s="70" t="s">
        <v>45</v>
      </c>
      <c r="C14" s="165">
        <v>144</v>
      </c>
      <c r="D14" s="165">
        <v>150</v>
      </c>
      <c r="E14" s="165">
        <v>141</v>
      </c>
      <c r="F14" s="165">
        <v>131</v>
      </c>
      <c r="G14" s="165">
        <v>166</v>
      </c>
      <c r="H14" s="165">
        <v>228</v>
      </c>
      <c r="I14" s="165">
        <v>161</v>
      </c>
      <c r="J14" s="165">
        <v>271</v>
      </c>
      <c r="K14" s="165">
        <v>148</v>
      </c>
      <c r="L14" s="165">
        <v>102</v>
      </c>
      <c r="M14" s="164">
        <v>48.936170212765958</v>
      </c>
    </row>
    <row r="15" spans="2:13">
      <c r="B15" s="70" t="s">
        <v>49</v>
      </c>
      <c r="C15" s="165">
        <v>147</v>
      </c>
      <c r="D15" s="165"/>
      <c r="E15" s="165">
        <v>143</v>
      </c>
      <c r="F15" s="165">
        <v>143</v>
      </c>
      <c r="G15" s="165">
        <v>148</v>
      </c>
      <c r="H15" s="165">
        <v>180</v>
      </c>
      <c r="I15" s="165">
        <v>199</v>
      </c>
      <c r="J15" s="165">
        <v>219</v>
      </c>
      <c r="K15" s="165">
        <v>150</v>
      </c>
      <c r="L15" s="165">
        <v>157</v>
      </c>
      <c r="M15" s="164">
        <v>44.680851063829785</v>
      </c>
    </row>
    <row r="16" spans="2:13">
      <c r="B16" s="70" t="s">
        <v>53</v>
      </c>
      <c r="C16" s="165">
        <v>148</v>
      </c>
      <c r="D16" s="165">
        <v>150</v>
      </c>
      <c r="E16" s="165">
        <v>141</v>
      </c>
      <c r="F16" s="165">
        <v>143</v>
      </c>
      <c r="G16" s="165">
        <v>163</v>
      </c>
      <c r="H16" s="165">
        <v>198</v>
      </c>
      <c r="I16" s="165">
        <v>188</v>
      </c>
      <c r="J16" s="165"/>
      <c r="K16" s="165">
        <v>150</v>
      </c>
      <c r="L16" s="165">
        <v>116</v>
      </c>
      <c r="M16" s="164">
        <v>44.680851063829785</v>
      </c>
    </row>
    <row r="17" spans="2:13">
      <c r="B17" s="70" t="s">
        <v>15</v>
      </c>
      <c r="C17" s="165">
        <v>119</v>
      </c>
      <c r="D17" s="165"/>
      <c r="E17" s="165"/>
      <c r="F17" s="165"/>
      <c r="G17" s="165">
        <v>131</v>
      </c>
      <c r="H17" s="165"/>
      <c r="I17" s="165">
        <v>188</v>
      </c>
      <c r="J17" s="165">
        <v>191</v>
      </c>
      <c r="K17" s="165">
        <v>151</v>
      </c>
      <c r="L17" s="165">
        <v>159</v>
      </c>
      <c r="M17" s="164">
        <v>42.553191489361701</v>
      </c>
    </row>
    <row r="18" spans="2:13">
      <c r="B18" s="70" t="s">
        <v>44</v>
      </c>
      <c r="C18" s="165"/>
      <c r="D18" s="165">
        <v>134</v>
      </c>
      <c r="E18" s="165">
        <v>110</v>
      </c>
      <c r="F18" s="165">
        <v>161</v>
      </c>
      <c r="G18" s="165">
        <v>139</v>
      </c>
      <c r="H18" s="165"/>
      <c r="I18" s="165">
        <v>313</v>
      </c>
      <c r="J18" s="165"/>
      <c r="K18" s="165">
        <v>156</v>
      </c>
      <c r="L18" s="165">
        <v>161</v>
      </c>
      <c r="M18" s="164">
        <v>31.914893617021278</v>
      </c>
    </row>
    <row r="19" spans="2:13">
      <c r="B19" s="70" t="s">
        <v>48</v>
      </c>
      <c r="C19" s="165">
        <v>151</v>
      </c>
      <c r="D19" s="165">
        <v>146</v>
      </c>
      <c r="E19" s="165">
        <v>147</v>
      </c>
      <c r="F19" s="165"/>
      <c r="G19" s="165">
        <v>163</v>
      </c>
      <c r="H19" s="165">
        <v>193</v>
      </c>
      <c r="I19" s="165">
        <v>182</v>
      </c>
      <c r="J19" s="165">
        <v>197</v>
      </c>
      <c r="K19" s="165">
        <v>158</v>
      </c>
      <c r="L19" s="165">
        <v>141</v>
      </c>
      <c r="M19" s="164">
        <v>27.659574468085108</v>
      </c>
    </row>
    <row r="20" spans="2:13">
      <c r="B20" s="70" t="s">
        <v>54</v>
      </c>
      <c r="C20" s="165"/>
      <c r="D20" s="165"/>
      <c r="E20" s="165"/>
      <c r="F20" s="165"/>
      <c r="G20" s="165">
        <v>141</v>
      </c>
      <c r="H20" s="165"/>
      <c r="I20" s="165">
        <v>237</v>
      </c>
      <c r="J20" s="165"/>
      <c r="K20" s="165">
        <v>159</v>
      </c>
      <c r="L20" s="165">
        <v>176</v>
      </c>
      <c r="M20" s="164">
        <v>25.531914893617021</v>
      </c>
    </row>
    <row r="21" spans="2:13">
      <c r="B21" s="70" t="s">
        <v>55</v>
      </c>
      <c r="C21" s="165"/>
      <c r="D21" s="165">
        <v>160</v>
      </c>
      <c r="E21" s="165">
        <v>138</v>
      </c>
      <c r="F21" s="165"/>
      <c r="G21" s="165">
        <v>165</v>
      </c>
      <c r="H21" s="165"/>
      <c r="I21" s="165">
        <v>202</v>
      </c>
      <c r="J21" s="165">
        <v>138</v>
      </c>
      <c r="K21" s="165">
        <v>162</v>
      </c>
      <c r="L21" s="165">
        <v>146</v>
      </c>
      <c r="M21" s="164">
        <v>19.148936170212767</v>
      </c>
    </row>
    <row r="22" spans="2:13">
      <c r="B22" s="70" t="s">
        <v>63</v>
      </c>
      <c r="C22" s="165"/>
      <c r="D22" s="165"/>
      <c r="E22" s="165"/>
      <c r="F22" s="165"/>
      <c r="G22" s="165">
        <v>171</v>
      </c>
      <c r="H22" s="165"/>
      <c r="I22" s="165"/>
      <c r="J22" s="165"/>
      <c r="K22" s="165">
        <v>171</v>
      </c>
      <c r="L22" s="165">
        <v>168</v>
      </c>
      <c r="M22" s="164">
        <v>0</v>
      </c>
    </row>
    <row r="23" spans="2:13">
      <c r="B23" s="70" t="s">
        <v>57</v>
      </c>
      <c r="C23" s="165"/>
      <c r="D23" s="165"/>
      <c r="E23" s="165"/>
      <c r="F23" s="165"/>
      <c r="G23" s="165"/>
      <c r="H23" s="165"/>
      <c r="I23" s="165"/>
      <c r="J23" s="165"/>
      <c r="K23" s="165"/>
      <c r="L23" s="165"/>
      <c r="M23" s="165"/>
    </row>
  </sheetData>
  <sheetProtection algorithmName="SHA-512" hashValue="GT6Q7FJfLND4Wu0E2oHQeCouJ613+6bJ1n9emSUSaivC06SawSL/x+zj0Baj2Li7oSoBF6NpY6x1Lkolk4UWdQ==" saltValue="EDthgbavioefbW2ZF1Jjmw==" spinCount="100000" sheet="1" objects="1" scenarios="1" selectLockedCells="1" selectUnlockedCells="1"/>
  <mergeCells count="6">
    <mergeCell ref="B2:B3"/>
    <mergeCell ref="C2:G2"/>
    <mergeCell ref="H2:J2"/>
    <mergeCell ref="K2:K3"/>
    <mergeCell ref="M2:M3"/>
    <mergeCell ref="L2:L3"/>
  </mergeCells>
  <phoneticPr fontId="3" type="noConversion"/>
  <conditionalFormatting sqref="C4:J23 K23:M23">
    <cfRule type="containsBlanks" dxfId="4" priority="3">
      <formula>LEN(TRIM(C4))=0</formula>
    </cfRule>
  </conditionalFormatting>
  <conditionalFormatting sqref="M4:M22">
    <cfRule type="colorScale" priority="1">
      <colorScale>
        <cfvo type="min"/>
        <cfvo type="percentile" val="50"/>
        <cfvo type="max"/>
        <color theme="0"/>
        <color theme="5" tint="0.59999389629810485"/>
        <color theme="5"/>
      </colorScale>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29FD3-B224-5440-8FD5-B2B0ABB68787}">
  <sheetPr>
    <tabColor theme="6" tint="0.79998168889431442"/>
  </sheetPr>
  <dimension ref="B1:H23"/>
  <sheetViews>
    <sheetView workbookViewId="0">
      <selection activeCell="G28" sqref="G28"/>
    </sheetView>
  </sheetViews>
  <sheetFormatPr baseColWidth="10" defaultRowHeight="16"/>
  <cols>
    <col min="1" max="1" width="2" customWidth="1"/>
    <col min="2" max="2" width="24" customWidth="1"/>
    <col min="7" max="7" width="26.33203125" customWidth="1"/>
  </cols>
  <sheetData>
    <row r="1" spans="2:8" ht="11" customHeight="1"/>
    <row r="2" spans="2:8" ht="17" customHeight="1">
      <c r="B2" s="395" t="s">
        <v>76</v>
      </c>
      <c r="C2" s="395" t="s">
        <v>332</v>
      </c>
      <c r="D2" s="395"/>
      <c r="E2" s="395" t="s">
        <v>333</v>
      </c>
      <c r="F2" s="395"/>
      <c r="G2" s="387" t="s">
        <v>521</v>
      </c>
      <c r="H2" s="387" t="s">
        <v>317</v>
      </c>
    </row>
    <row r="3" spans="2:8" ht="17">
      <c r="B3" s="395"/>
      <c r="C3" s="99" t="s">
        <v>334</v>
      </c>
      <c r="D3" s="99" t="s">
        <v>335</v>
      </c>
      <c r="E3" s="99" t="s">
        <v>334</v>
      </c>
      <c r="F3" s="99" t="s">
        <v>335</v>
      </c>
      <c r="G3" s="388"/>
      <c r="H3" s="388"/>
    </row>
    <row r="4" spans="2:8">
      <c r="B4" s="70" t="s">
        <v>17</v>
      </c>
      <c r="C4" s="167"/>
      <c r="D4" s="168">
        <v>172</v>
      </c>
      <c r="E4" s="101"/>
      <c r="F4" s="101">
        <v>1</v>
      </c>
      <c r="G4" s="166">
        <v>172</v>
      </c>
      <c r="H4" s="245">
        <v>100</v>
      </c>
    </row>
    <row r="5" spans="2:8">
      <c r="B5" s="70" t="s">
        <v>44</v>
      </c>
      <c r="C5" s="167">
        <v>11</v>
      </c>
      <c r="D5" s="168">
        <v>135</v>
      </c>
      <c r="E5" s="103">
        <v>2.7624390833537252E-3</v>
      </c>
      <c r="F5" s="101">
        <v>0.99723756091664628</v>
      </c>
      <c r="G5" s="166">
        <v>134</v>
      </c>
      <c r="H5" s="245">
        <v>75.324675324675326</v>
      </c>
    </row>
    <row r="6" spans="2:8">
      <c r="B6" s="70" t="s">
        <v>43</v>
      </c>
      <c r="C6" s="167"/>
      <c r="D6" s="168">
        <v>98</v>
      </c>
      <c r="E6" s="101"/>
      <c r="F6" s="101">
        <v>1</v>
      </c>
      <c r="G6" s="166">
        <v>98</v>
      </c>
      <c r="H6" s="245">
        <v>51.94805194805194</v>
      </c>
    </row>
    <row r="7" spans="2:8">
      <c r="B7" s="70" t="s">
        <v>41</v>
      </c>
      <c r="C7" s="167"/>
      <c r="D7" s="168">
        <v>96</v>
      </c>
      <c r="E7" s="101"/>
      <c r="F7" s="101">
        <v>1</v>
      </c>
      <c r="G7" s="166">
        <v>96</v>
      </c>
      <c r="H7" s="245">
        <v>50.649350649350644</v>
      </c>
    </row>
    <row r="8" spans="2:8">
      <c r="B8" s="70" t="s">
        <v>54</v>
      </c>
      <c r="C8" s="167"/>
      <c r="D8" s="168">
        <v>93</v>
      </c>
      <c r="E8" s="103"/>
      <c r="F8" s="101">
        <v>0.99883466514459662</v>
      </c>
      <c r="G8" s="166">
        <v>93</v>
      </c>
      <c r="H8" s="245">
        <v>48.701298701298704</v>
      </c>
    </row>
    <row r="9" spans="2:8">
      <c r="B9" s="70" t="s">
        <v>50</v>
      </c>
      <c r="C9" s="167">
        <v>3</v>
      </c>
      <c r="D9" s="168">
        <v>94</v>
      </c>
      <c r="E9" s="101">
        <v>0.14653145917924179</v>
      </c>
      <c r="F9" s="101">
        <v>0.85346854082075818</v>
      </c>
      <c r="G9" s="166">
        <v>81</v>
      </c>
      <c r="H9" s="245">
        <v>40.909090909090914</v>
      </c>
    </row>
    <row r="10" spans="2:8">
      <c r="B10" s="70" t="s">
        <v>16</v>
      </c>
      <c r="C10" s="167"/>
      <c r="D10" s="169">
        <v>76</v>
      </c>
      <c r="E10" s="101"/>
      <c r="F10" s="101">
        <v>1</v>
      </c>
      <c r="G10" s="166">
        <v>76</v>
      </c>
      <c r="H10" s="245">
        <v>37.662337662337663</v>
      </c>
    </row>
    <row r="11" spans="2:8">
      <c r="B11" s="70" t="s">
        <v>48</v>
      </c>
      <c r="C11" s="167">
        <v>2</v>
      </c>
      <c r="D11" s="170">
        <v>77</v>
      </c>
      <c r="E11" s="101">
        <v>5.5058978431133013E-2</v>
      </c>
      <c r="F11" s="101">
        <v>0.94494102156886695</v>
      </c>
      <c r="G11" s="166">
        <v>73</v>
      </c>
      <c r="H11" s="164">
        <v>35.714285714285715</v>
      </c>
    </row>
    <row r="12" spans="2:8">
      <c r="B12" s="70" t="s">
        <v>15</v>
      </c>
      <c r="C12" s="169">
        <v>2</v>
      </c>
      <c r="D12" s="168">
        <v>77</v>
      </c>
      <c r="E12" s="107">
        <v>5.6014692378328741E-2</v>
      </c>
      <c r="F12" s="101">
        <v>0.94398530762167121</v>
      </c>
      <c r="G12" s="166">
        <v>72</v>
      </c>
      <c r="H12" s="164">
        <v>35.064935064935064</v>
      </c>
    </row>
    <row r="13" spans="2:8">
      <c r="B13" s="70" t="s">
        <v>49</v>
      </c>
      <c r="C13" s="167">
        <v>3</v>
      </c>
      <c r="D13" s="168">
        <v>67</v>
      </c>
      <c r="E13" s="171">
        <v>1.0169939692257619E-5</v>
      </c>
      <c r="F13" s="101">
        <v>0.99998983006030773</v>
      </c>
      <c r="G13" s="166">
        <v>67</v>
      </c>
      <c r="H13" s="209">
        <v>31.818181818181817</v>
      </c>
    </row>
    <row r="14" spans="2:8">
      <c r="B14" s="70" t="s">
        <v>52</v>
      </c>
      <c r="C14" s="167"/>
      <c r="D14" s="168">
        <v>65</v>
      </c>
      <c r="E14" s="101"/>
      <c r="F14" s="101">
        <v>1</v>
      </c>
      <c r="G14" s="166">
        <v>65</v>
      </c>
      <c r="H14" s="164">
        <v>30.519480519480517</v>
      </c>
    </row>
    <row r="15" spans="2:8">
      <c r="B15" s="70" t="s">
        <v>51</v>
      </c>
      <c r="C15" s="167"/>
      <c r="D15" s="168">
        <v>58</v>
      </c>
      <c r="E15" s="101"/>
      <c r="F15" s="101">
        <v>1</v>
      </c>
      <c r="G15" s="166">
        <v>58</v>
      </c>
      <c r="H15" s="164">
        <v>25.97402597402597</v>
      </c>
    </row>
    <row r="16" spans="2:8">
      <c r="B16" s="70" t="s">
        <v>63</v>
      </c>
      <c r="C16" s="167"/>
      <c r="D16" s="168">
        <v>47</v>
      </c>
      <c r="E16" s="101"/>
      <c r="F16" s="101">
        <v>1</v>
      </c>
      <c r="G16" s="166">
        <v>47</v>
      </c>
      <c r="H16" s="164">
        <v>18.831168831168831</v>
      </c>
    </row>
    <row r="17" spans="2:8">
      <c r="B17" s="70" t="s">
        <v>58</v>
      </c>
      <c r="C17" s="167">
        <v>3</v>
      </c>
      <c r="D17" s="168">
        <v>42</v>
      </c>
      <c r="E17" s="101">
        <v>1.019578128656274E-2</v>
      </c>
      <c r="F17" s="101">
        <v>0.98980421871343727</v>
      </c>
      <c r="G17" s="166">
        <v>41</v>
      </c>
      <c r="H17" s="164">
        <v>14.935064935064934</v>
      </c>
    </row>
    <row r="18" spans="2:8">
      <c r="B18" s="70" t="s">
        <v>46</v>
      </c>
      <c r="C18" s="167">
        <v>12</v>
      </c>
      <c r="D18" s="168">
        <v>44</v>
      </c>
      <c r="E18" s="101">
        <v>0.16945290682914449</v>
      </c>
      <c r="F18" s="101">
        <v>0.83054709317085551</v>
      </c>
      <c r="G18" s="166">
        <v>38</v>
      </c>
      <c r="H18" s="164">
        <v>12.987012987012985</v>
      </c>
    </row>
    <row r="19" spans="2:8">
      <c r="B19" s="70" t="s">
        <v>55</v>
      </c>
      <c r="C19" s="167"/>
      <c r="D19" s="168">
        <v>36</v>
      </c>
      <c r="E19" s="103"/>
      <c r="F19" s="101">
        <v>1</v>
      </c>
      <c r="G19" s="166">
        <v>36</v>
      </c>
      <c r="H19" s="164">
        <v>11.688311688311687</v>
      </c>
    </row>
    <row r="20" spans="2:8">
      <c r="B20" s="70" t="s">
        <v>53</v>
      </c>
      <c r="C20" s="167">
        <v>1</v>
      </c>
      <c r="D20" s="168">
        <v>35</v>
      </c>
      <c r="E20" s="101">
        <v>0.32327446490375061</v>
      </c>
      <c r="F20" s="101">
        <v>0.67672553509624933</v>
      </c>
      <c r="G20" s="166">
        <v>24</v>
      </c>
      <c r="H20" s="164">
        <v>3.8961038961038961</v>
      </c>
    </row>
    <row r="21" spans="2:8">
      <c r="B21" s="70" t="s">
        <v>59</v>
      </c>
      <c r="C21" s="167">
        <v>6</v>
      </c>
      <c r="D21" s="168">
        <v>25</v>
      </c>
      <c r="E21" s="101">
        <v>0.13918935220555709</v>
      </c>
      <c r="F21" s="101">
        <v>0.86081064779444283</v>
      </c>
      <c r="G21" s="166">
        <v>22</v>
      </c>
      <c r="H21" s="164">
        <v>2.5974025974025974</v>
      </c>
    </row>
    <row r="22" spans="2:8">
      <c r="B22" s="70" t="s">
        <v>45</v>
      </c>
      <c r="C22" s="167">
        <v>2</v>
      </c>
      <c r="D22" s="168">
        <v>61</v>
      </c>
      <c r="E22" s="101">
        <v>0.73415951481399788</v>
      </c>
      <c r="F22" s="101">
        <v>0.26584048518600212</v>
      </c>
      <c r="G22" s="166">
        <v>18</v>
      </c>
      <c r="H22" s="164">
        <v>0</v>
      </c>
    </row>
    <row r="23" spans="2:8">
      <c r="B23" s="70" t="s">
        <v>57</v>
      </c>
      <c r="C23" s="167"/>
      <c r="D23" s="168"/>
      <c r="E23" s="101"/>
      <c r="F23" s="101"/>
      <c r="G23" s="167"/>
      <c r="H23" s="167"/>
    </row>
  </sheetData>
  <sheetProtection algorithmName="SHA-512" hashValue="wWaa7DpNS2ufCkNoAzrutZe5H2qFH8p5RQw5UxGdmaQLNlh5+rhQq2tyhlRCi1rwiVIjGKWfowQGLriiJaZ1qw==" saltValue="OaTUQOKfEIZW/1+GlztdJQ==" spinCount="100000" sheet="1" objects="1" scenarios="1" selectLockedCells="1" selectUnlockedCells="1"/>
  <mergeCells count="5">
    <mergeCell ref="B2:B3"/>
    <mergeCell ref="C2:D2"/>
    <mergeCell ref="E2:F2"/>
    <mergeCell ref="G2:G3"/>
    <mergeCell ref="H2:H3"/>
  </mergeCells>
  <phoneticPr fontId="3" type="noConversion"/>
  <conditionalFormatting sqref="B23:H23 B4:G22">
    <cfRule type="containsBlanks" dxfId="3" priority="2">
      <formula>LEN(TRIM(B4))=0</formula>
    </cfRule>
  </conditionalFormatting>
  <conditionalFormatting sqref="H4:H22">
    <cfRule type="colorScale" priority="1">
      <colorScale>
        <cfvo type="min"/>
        <cfvo type="percentile" val="50"/>
        <cfvo type="max"/>
        <color theme="0"/>
        <color theme="5" tint="0.59999389629810485"/>
        <color theme="5"/>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306EC-E792-7E43-B5AE-3128D9F5C23B}">
  <sheetPr>
    <tabColor theme="6" tint="0.79998168889431442"/>
  </sheetPr>
  <dimension ref="B1:L23"/>
  <sheetViews>
    <sheetView zoomScaleNormal="100" workbookViewId="0">
      <selection activeCell="N7" sqref="N7"/>
    </sheetView>
  </sheetViews>
  <sheetFormatPr baseColWidth="10" defaultRowHeight="16"/>
  <cols>
    <col min="1" max="1" width="3" customWidth="1"/>
    <col min="2" max="2" width="15.33203125" customWidth="1"/>
    <col min="11" max="11" width="24.1640625" customWidth="1"/>
  </cols>
  <sheetData>
    <row r="1" spans="2:12" ht="10" customHeight="1"/>
    <row r="2" spans="2:12">
      <c r="B2" s="395" t="s">
        <v>76</v>
      </c>
      <c r="C2" s="395" t="s">
        <v>336</v>
      </c>
      <c r="D2" s="395"/>
      <c r="E2" s="395"/>
      <c r="F2" s="395"/>
      <c r="G2" s="395"/>
      <c r="H2" s="395" t="s">
        <v>337</v>
      </c>
      <c r="I2" s="395"/>
      <c r="J2" s="395"/>
      <c r="K2" s="395" t="s">
        <v>520</v>
      </c>
      <c r="L2" s="395" t="s">
        <v>317</v>
      </c>
    </row>
    <row r="3" spans="2:12" ht="17">
      <c r="B3" s="395"/>
      <c r="C3" s="99" t="s">
        <v>320</v>
      </c>
      <c r="D3" s="99" t="s">
        <v>321</v>
      </c>
      <c r="E3" s="99" t="s">
        <v>322</v>
      </c>
      <c r="F3" s="99" t="s">
        <v>323</v>
      </c>
      <c r="G3" s="99" t="s">
        <v>324</v>
      </c>
      <c r="H3" s="99" t="s">
        <v>325</v>
      </c>
      <c r="I3" s="99" t="s">
        <v>326</v>
      </c>
      <c r="J3" s="99" t="s">
        <v>323</v>
      </c>
      <c r="K3" s="395"/>
      <c r="L3" s="395"/>
    </row>
    <row r="4" spans="2:12" ht="17">
      <c r="B4" s="108" t="s">
        <v>17</v>
      </c>
      <c r="C4" s="172"/>
      <c r="D4" s="172"/>
      <c r="E4" s="172">
        <v>492</v>
      </c>
      <c r="F4" s="172">
        <v>663</v>
      </c>
      <c r="G4" s="172">
        <v>502</v>
      </c>
      <c r="H4" s="172"/>
      <c r="I4" s="172"/>
      <c r="J4" s="172"/>
      <c r="K4" s="166">
        <v>503</v>
      </c>
      <c r="L4" s="245">
        <v>100</v>
      </c>
    </row>
    <row r="5" spans="2:12" ht="17">
      <c r="B5" s="108" t="s">
        <v>54</v>
      </c>
      <c r="C5" s="172"/>
      <c r="D5" s="172"/>
      <c r="E5" s="172"/>
      <c r="F5" s="172"/>
      <c r="G5" s="172">
        <v>538</v>
      </c>
      <c r="H5" s="172"/>
      <c r="I5" s="172">
        <v>386</v>
      </c>
      <c r="J5" s="172">
        <v>317</v>
      </c>
      <c r="K5" s="166">
        <v>488</v>
      </c>
      <c r="L5" s="245">
        <v>95.114006514657973</v>
      </c>
    </row>
    <row r="6" spans="2:12" ht="17">
      <c r="B6" s="108" t="s">
        <v>41</v>
      </c>
      <c r="C6" s="172">
        <v>260</v>
      </c>
      <c r="D6" s="172">
        <v>429</v>
      </c>
      <c r="E6" s="172">
        <v>246</v>
      </c>
      <c r="F6" s="172">
        <v>407</v>
      </c>
      <c r="G6" s="172">
        <v>470</v>
      </c>
      <c r="H6" s="172"/>
      <c r="I6" s="172">
        <v>257</v>
      </c>
      <c r="J6" s="172">
        <v>257</v>
      </c>
      <c r="K6" s="166">
        <v>447</v>
      </c>
      <c r="L6" s="245">
        <v>81.758957654723133</v>
      </c>
    </row>
    <row r="7" spans="2:12">
      <c r="B7" s="70" t="s">
        <v>52</v>
      </c>
      <c r="C7" s="172"/>
      <c r="D7" s="172"/>
      <c r="E7" s="172">
        <v>449</v>
      </c>
      <c r="F7" s="172"/>
      <c r="G7" s="172">
        <v>425</v>
      </c>
      <c r="H7" s="172"/>
      <c r="I7" s="172"/>
      <c r="J7" s="172"/>
      <c r="K7" s="166">
        <v>434</v>
      </c>
      <c r="L7" s="245">
        <v>77.524429967426713</v>
      </c>
    </row>
    <row r="8" spans="2:12">
      <c r="B8" s="70" t="s">
        <v>43</v>
      </c>
      <c r="C8" s="172">
        <v>232</v>
      </c>
      <c r="D8" s="172"/>
      <c r="E8" s="172">
        <v>590</v>
      </c>
      <c r="F8" s="172">
        <v>468</v>
      </c>
      <c r="G8" s="166">
        <v>442</v>
      </c>
      <c r="H8" s="166"/>
      <c r="I8" s="166"/>
      <c r="J8" s="166"/>
      <c r="K8" s="166">
        <v>429</v>
      </c>
      <c r="L8" s="245">
        <v>75.895765472312704</v>
      </c>
    </row>
    <row r="9" spans="2:12">
      <c r="B9" s="70" t="s">
        <v>44</v>
      </c>
      <c r="C9" s="172"/>
      <c r="D9" s="172">
        <v>447</v>
      </c>
      <c r="E9" s="172">
        <v>570</v>
      </c>
      <c r="F9" s="172">
        <v>436</v>
      </c>
      <c r="G9" s="166">
        <v>443</v>
      </c>
      <c r="H9" s="166"/>
      <c r="I9" s="166">
        <v>173</v>
      </c>
      <c r="J9" s="166">
        <v>250</v>
      </c>
      <c r="K9" s="166">
        <v>420</v>
      </c>
      <c r="L9" s="245">
        <v>72.964169381107496</v>
      </c>
    </row>
    <row r="10" spans="2:12">
      <c r="B10" s="70" t="s">
        <v>16</v>
      </c>
      <c r="C10" s="166">
        <v>352</v>
      </c>
      <c r="D10" s="166">
        <v>347</v>
      </c>
      <c r="E10" s="166">
        <v>397</v>
      </c>
      <c r="F10" s="166">
        <v>525</v>
      </c>
      <c r="G10" s="166">
        <v>425</v>
      </c>
      <c r="H10" s="166"/>
      <c r="I10" s="166">
        <v>217</v>
      </c>
      <c r="J10" s="166">
        <v>314</v>
      </c>
      <c r="K10" s="166">
        <v>420</v>
      </c>
      <c r="L10" s="245">
        <v>72.964169381107496</v>
      </c>
    </row>
    <row r="11" spans="2:12">
      <c r="B11" s="70" t="s">
        <v>50</v>
      </c>
      <c r="C11" s="166">
        <v>159</v>
      </c>
      <c r="D11" s="166"/>
      <c r="E11" s="166"/>
      <c r="F11" s="166">
        <v>711</v>
      </c>
      <c r="G11" s="166">
        <v>422</v>
      </c>
      <c r="H11" s="166"/>
      <c r="I11" s="166">
        <v>285</v>
      </c>
      <c r="J11" s="166">
        <v>204</v>
      </c>
      <c r="K11" s="166">
        <v>420</v>
      </c>
      <c r="L11" s="164">
        <v>72.964169381107496</v>
      </c>
    </row>
    <row r="12" spans="2:12">
      <c r="B12" s="70" t="s">
        <v>15</v>
      </c>
      <c r="C12" s="166">
        <v>150</v>
      </c>
      <c r="D12" s="166"/>
      <c r="E12" s="166"/>
      <c r="F12" s="166">
        <v>650</v>
      </c>
      <c r="G12" s="166">
        <v>450</v>
      </c>
      <c r="H12" s="166"/>
      <c r="I12" s="166">
        <v>260</v>
      </c>
      <c r="J12" s="166">
        <v>280</v>
      </c>
      <c r="K12" s="166">
        <v>412</v>
      </c>
      <c r="L12" s="164">
        <v>70.358306188925084</v>
      </c>
    </row>
    <row r="13" spans="2:12">
      <c r="B13" s="70" t="s">
        <v>49</v>
      </c>
      <c r="C13" s="166">
        <v>109</v>
      </c>
      <c r="D13" s="166"/>
      <c r="E13" s="166">
        <v>414</v>
      </c>
      <c r="F13" s="166">
        <v>531</v>
      </c>
      <c r="G13" s="166">
        <v>383</v>
      </c>
      <c r="H13" s="166">
        <v>226</v>
      </c>
      <c r="I13" s="166">
        <v>220</v>
      </c>
      <c r="J13" s="166">
        <v>271</v>
      </c>
      <c r="K13" s="166">
        <v>405</v>
      </c>
      <c r="L13" s="209">
        <v>68.078175895765469</v>
      </c>
    </row>
    <row r="14" spans="2:12">
      <c r="B14" s="70" t="s">
        <v>51</v>
      </c>
      <c r="C14" s="166">
        <v>219</v>
      </c>
      <c r="D14" s="166"/>
      <c r="E14" s="166">
        <v>579</v>
      </c>
      <c r="F14" s="166"/>
      <c r="G14" s="166">
        <v>394</v>
      </c>
      <c r="H14" s="166"/>
      <c r="I14" s="166"/>
      <c r="J14" s="166"/>
      <c r="K14" s="166">
        <v>355</v>
      </c>
      <c r="L14" s="164">
        <v>51.791530944625407</v>
      </c>
    </row>
    <row r="15" spans="2:12">
      <c r="B15" s="70" t="s">
        <v>46</v>
      </c>
      <c r="C15" s="166">
        <v>306</v>
      </c>
      <c r="D15" s="166">
        <v>375</v>
      </c>
      <c r="E15" s="166">
        <v>390</v>
      </c>
      <c r="F15" s="166"/>
      <c r="G15" s="166">
        <v>225</v>
      </c>
      <c r="H15" s="166"/>
      <c r="I15" s="166">
        <v>295</v>
      </c>
      <c r="J15" s="166">
        <v>202</v>
      </c>
      <c r="K15" s="166">
        <v>295</v>
      </c>
      <c r="L15" s="164">
        <v>32.247557003257327</v>
      </c>
    </row>
    <row r="16" spans="2:12">
      <c r="B16" s="70" t="s">
        <v>58</v>
      </c>
      <c r="C16" s="166">
        <v>281</v>
      </c>
      <c r="D16" s="166">
        <v>305</v>
      </c>
      <c r="E16" s="166"/>
      <c r="F16" s="166">
        <v>565</v>
      </c>
      <c r="G16" s="166">
        <v>268</v>
      </c>
      <c r="H16" s="166"/>
      <c r="I16" s="166">
        <v>324</v>
      </c>
      <c r="J16" s="166">
        <v>352</v>
      </c>
      <c r="K16" s="166">
        <v>289</v>
      </c>
      <c r="L16" s="164">
        <v>30.293159609120522</v>
      </c>
    </row>
    <row r="17" spans="2:12">
      <c r="B17" s="70" t="s">
        <v>55</v>
      </c>
      <c r="C17" s="166">
        <v>160</v>
      </c>
      <c r="D17" s="166">
        <v>327</v>
      </c>
      <c r="E17" s="166">
        <v>294</v>
      </c>
      <c r="F17" s="166"/>
      <c r="G17" s="166">
        <v>225</v>
      </c>
      <c r="H17" s="166"/>
      <c r="I17" s="166">
        <v>200</v>
      </c>
      <c r="J17" s="166">
        <v>291</v>
      </c>
      <c r="K17" s="166">
        <v>285</v>
      </c>
      <c r="L17" s="164">
        <v>28.990228013029316</v>
      </c>
    </row>
    <row r="18" spans="2:12">
      <c r="B18" s="70" t="s">
        <v>48</v>
      </c>
      <c r="C18" s="166">
        <v>262</v>
      </c>
      <c r="D18" s="166">
        <v>340</v>
      </c>
      <c r="E18" s="166">
        <v>372</v>
      </c>
      <c r="F18" s="166"/>
      <c r="G18" s="166">
        <v>318</v>
      </c>
      <c r="H18" s="166">
        <v>280</v>
      </c>
      <c r="I18" s="166">
        <v>204</v>
      </c>
      <c r="J18" s="166">
        <v>263</v>
      </c>
      <c r="K18" s="166">
        <v>283</v>
      </c>
      <c r="L18" s="164">
        <v>28.338762214983714</v>
      </c>
    </row>
    <row r="19" spans="2:12">
      <c r="B19" s="70" t="s">
        <v>59</v>
      </c>
      <c r="C19" s="166">
        <v>113</v>
      </c>
      <c r="D19" s="166"/>
      <c r="E19" s="166"/>
      <c r="F19" s="166"/>
      <c r="G19" s="166">
        <v>301</v>
      </c>
      <c r="H19" s="166"/>
      <c r="I19" s="166"/>
      <c r="J19" s="166"/>
      <c r="K19" s="166">
        <v>262</v>
      </c>
      <c r="L19" s="164">
        <v>21.498371335504888</v>
      </c>
    </row>
    <row r="20" spans="2:12">
      <c r="B20" s="70" t="s">
        <v>53</v>
      </c>
      <c r="C20" s="166">
        <v>234</v>
      </c>
      <c r="D20" s="166">
        <v>352</v>
      </c>
      <c r="E20" s="166">
        <v>345</v>
      </c>
      <c r="F20" s="166">
        <v>394</v>
      </c>
      <c r="G20" s="166">
        <v>318</v>
      </c>
      <c r="H20" s="166">
        <v>216</v>
      </c>
      <c r="I20" s="166">
        <v>227</v>
      </c>
      <c r="J20" s="166"/>
      <c r="K20" s="166">
        <v>254</v>
      </c>
      <c r="L20" s="164">
        <v>18.892508143322477</v>
      </c>
    </row>
    <row r="21" spans="2:12" ht="17">
      <c r="B21" s="108" t="s">
        <v>63</v>
      </c>
      <c r="C21" s="166"/>
      <c r="D21" s="166"/>
      <c r="E21" s="166"/>
      <c r="F21" s="166"/>
      <c r="G21" s="166">
        <v>205</v>
      </c>
      <c r="H21" s="166"/>
      <c r="I21" s="166"/>
      <c r="J21" s="166"/>
      <c r="K21" s="166">
        <v>205</v>
      </c>
      <c r="L21" s="164">
        <v>2.9315960912052117</v>
      </c>
    </row>
    <row r="22" spans="2:12">
      <c r="B22" s="70" t="s">
        <v>45</v>
      </c>
      <c r="C22" s="166">
        <v>149</v>
      </c>
      <c r="D22" s="166">
        <v>371</v>
      </c>
      <c r="E22" s="166">
        <v>457</v>
      </c>
      <c r="F22" s="166">
        <v>536</v>
      </c>
      <c r="G22" s="166">
        <v>326</v>
      </c>
      <c r="H22" s="166">
        <v>161</v>
      </c>
      <c r="I22" s="166">
        <v>261</v>
      </c>
      <c r="J22" s="166">
        <v>281</v>
      </c>
      <c r="K22" s="166">
        <v>196</v>
      </c>
      <c r="L22" s="164">
        <v>0</v>
      </c>
    </row>
    <row r="23" spans="2:12">
      <c r="B23" s="19" t="s">
        <v>57</v>
      </c>
      <c r="C23" s="164"/>
      <c r="D23" s="164"/>
      <c r="E23" s="164"/>
      <c r="F23" s="164"/>
      <c r="G23" s="164"/>
      <c r="H23" s="164"/>
      <c r="I23" s="164"/>
      <c r="J23" s="164"/>
      <c r="K23" s="164"/>
      <c r="L23" s="164"/>
    </row>
  </sheetData>
  <sheetProtection algorithmName="SHA-512" hashValue="f8PxFVzhI43ccME2QHjp4en0xjaPa70F6IQiyGSCDOCqDtlnBQi7bY3P/ROkjhvnYGT9DG3OrfTdYJFHf0YOwQ==" saltValue="hep+6Mrl/RsRci20Dxt10Q==" spinCount="100000" sheet="1" objects="1" scenarios="1" selectLockedCells="1" selectUnlockedCells="1"/>
  <mergeCells count="5">
    <mergeCell ref="B2:B3"/>
    <mergeCell ref="C2:G2"/>
    <mergeCell ref="H2:J2"/>
    <mergeCell ref="K2:K3"/>
    <mergeCell ref="L2:L3"/>
  </mergeCells>
  <phoneticPr fontId="3" type="noConversion"/>
  <conditionalFormatting sqref="C4:J22">
    <cfRule type="containsBlanks" dxfId="2" priority="4">
      <formula>LEN(TRIM(C4))=0</formula>
    </cfRule>
  </conditionalFormatting>
  <conditionalFormatting sqref="C23:J23">
    <cfRule type="containsBlanks" dxfId="1" priority="3">
      <formula>LEN(TRIM(C23))=0</formula>
    </cfRule>
  </conditionalFormatting>
  <conditionalFormatting sqref="K23:L23">
    <cfRule type="containsBlanks" dxfId="0" priority="2">
      <formula>LEN(TRIM(K23))=0</formula>
    </cfRule>
  </conditionalFormatting>
  <conditionalFormatting sqref="L4:L22">
    <cfRule type="colorScale" priority="1">
      <colorScale>
        <cfvo type="min"/>
        <cfvo type="percentile" val="50"/>
        <cfvo type="max"/>
        <color theme="0"/>
        <color theme="5" tint="0.59999389629810485"/>
        <color theme="5"/>
      </colorScale>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A6C45-E05E-0448-BBDA-5523CEB490FE}">
  <sheetPr>
    <tabColor theme="6" tint="0.79998168889431442"/>
  </sheetPr>
  <dimension ref="B1:Q37"/>
  <sheetViews>
    <sheetView zoomScaleNormal="100" workbookViewId="0">
      <selection activeCell="D35" sqref="D35"/>
    </sheetView>
  </sheetViews>
  <sheetFormatPr baseColWidth="10" defaultColWidth="11" defaultRowHeight="16"/>
  <cols>
    <col min="1" max="1" width="2.5" style="18" customWidth="1"/>
    <col min="2" max="2" width="19" style="18" customWidth="1"/>
    <col min="3" max="3" width="87.5" style="18" customWidth="1"/>
    <col min="4" max="4" width="94.33203125" style="18" customWidth="1"/>
    <col min="5" max="5" width="18" style="18" customWidth="1"/>
    <col min="6" max="6" width="47" style="220" customWidth="1"/>
    <col min="7" max="7" width="11.33203125" customWidth="1"/>
    <col min="8" max="13" width="11.33203125" style="18" customWidth="1"/>
    <col min="14" max="15" width="18" style="18" customWidth="1"/>
    <col min="16" max="16" width="11.5" style="219" customWidth="1"/>
    <col min="17" max="16384" width="11" style="18"/>
  </cols>
  <sheetData>
    <row r="1" spans="2:17" ht="13" customHeight="1"/>
    <row r="2" spans="2:17" ht="16" customHeight="1">
      <c r="B2" s="407" t="s">
        <v>76</v>
      </c>
      <c r="C2" s="410" t="s">
        <v>400</v>
      </c>
      <c r="D2" s="412" t="s">
        <v>393</v>
      </c>
      <c r="E2" s="416" t="s">
        <v>400</v>
      </c>
      <c r="F2" s="416"/>
      <c r="G2" s="416"/>
      <c r="H2" s="416"/>
      <c r="I2" s="416"/>
      <c r="J2" s="416"/>
      <c r="K2" s="416"/>
      <c r="L2" s="416"/>
      <c r="M2" s="398" t="s">
        <v>213</v>
      </c>
      <c r="N2" s="416" t="s">
        <v>393</v>
      </c>
      <c r="O2" s="416"/>
      <c r="P2" s="416" t="s">
        <v>210</v>
      </c>
    </row>
    <row r="3" spans="2:17" s="29" customFormat="1" ht="82" customHeight="1">
      <c r="B3" s="407"/>
      <c r="C3" s="411"/>
      <c r="D3" s="412"/>
      <c r="E3" s="216" t="s">
        <v>405</v>
      </c>
      <c r="F3" s="216" t="s">
        <v>406</v>
      </c>
      <c r="G3" s="33" t="s">
        <v>77</v>
      </c>
      <c r="H3" s="33" t="s">
        <v>95</v>
      </c>
      <c r="I3" s="33" t="s">
        <v>211</v>
      </c>
      <c r="J3" s="33" t="s">
        <v>80</v>
      </c>
      <c r="K3" s="33" t="s">
        <v>81</v>
      </c>
      <c r="L3" s="33" t="s">
        <v>82</v>
      </c>
      <c r="M3" s="398"/>
      <c r="N3" s="216" t="s">
        <v>391</v>
      </c>
      <c r="O3" s="216" t="s">
        <v>399</v>
      </c>
      <c r="P3" s="416"/>
    </row>
    <row r="4" spans="2:17" ht="166" customHeight="1">
      <c r="B4" s="346" t="s">
        <v>232</v>
      </c>
      <c r="C4" s="67" t="s">
        <v>401</v>
      </c>
      <c r="D4" s="214" t="s">
        <v>524</v>
      </c>
      <c r="E4" s="221">
        <v>1</v>
      </c>
      <c r="F4" s="217" t="s">
        <v>413</v>
      </c>
      <c r="G4" s="335">
        <v>1</v>
      </c>
      <c r="H4" s="31">
        <v>1</v>
      </c>
      <c r="I4" s="31">
        <v>1</v>
      </c>
      <c r="J4" s="31">
        <v>1</v>
      </c>
      <c r="K4" s="31">
        <v>1</v>
      </c>
      <c r="L4" s="31">
        <v>1</v>
      </c>
      <c r="M4" s="304">
        <f>SUMPRODUCT(G4:L4,_xlfn.XLOOKUP(B4,'Global sales'!$C$28:$C$53,'Global sales'!$D$28:$I$53))/_xlfn.XLOOKUP(B4,'Global sales'!$C$28:$C$53,'Global sales'!$J$28:$J$53)</f>
        <v>1</v>
      </c>
      <c r="N4" s="217" t="s">
        <v>212</v>
      </c>
      <c r="O4" s="217" t="s">
        <v>212</v>
      </c>
      <c r="P4" s="305">
        <f>((M4/2)+(IF(AND(N4="Yes",O4="Yes"),1/2,0)))*100</f>
        <v>100</v>
      </c>
    </row>
    <row r="5" spans="2:17" ht="72" customHeight="1">
      <c r="B5" s="404" t="s">
        <v>216</v>
      </c>
      <c r="C5" s="401" t="s">
        <v>525</v>
      </c>
      <c r="D5" s="401" t="s">
        <v>522</v>
      </c>
      <c r="E5" s="221">
        <v>0.54</v>
      </c>
      <c r="F5" s="217" t="s">
        <v>413</v>
      </c>
      <c r="G5" s="335"/>
      <c r="H5" s="31"/>
      <c r="I5" s="31"/>
      <c r="J5" s="31"/>
      <c r="K5" s="31"/>
      <c r="L5" s="31"/>
      <c r="M5" s="418">
        <f>SUMPRODUCT(G6:L6,_xlfn.XLOOKUP(B5,'Global sales'!$C$28:$C$53,'Global sales'!$D$28:$I$53))/_xlfn.XLOOKUP(B5,'Global sales'!$C$28:$C$53,'Global sales'!$J$28:$J$53)</f>
        <v>0.49006266040558266</v>
      </c>
      <c r="N5" s="414" t="s">
        <v>212</v>
      </c>
      <c r="O5" s="414" t="s">
        <v>212</v>
      </c>
      <c r="P5" s="408">
        <f t="shared" ref="P5:P37" si="0">((M5/2)+(IF(AND(N5="Yes",O5="Yes"),1/2,0)))*100</f>
        <v>74.503133020279137</v>
      </c>
      <c r="Q5" s="51"/>
    </row>
    <row r="6" spans="2:17" ht="72" customHeight="1">
      <c r="B6" s="405"/>
      <c r="C6" s="402"/>
      <c r="D6" s="402"/>
      <c r="E6" s="221">
        <v>1</v>
      </c>
      <c r="F6" s="218" t="s">
        <v>418</v>
      </c>
      <c r="G6" s="335"/>
      <c r="H6" s="31">
        <v>1</v>
      </c>
      <c r="I6" s="31"/>
      <c r="J6" s="31"/>
      <c r="K6" s="31"/>
      <c r="L6" s="31"/>
      <c r="M6" s="418"/>
      <c r="N6" s="414"/>
      <c r="O6" s="414"/>
      <c r="P6" s="415"/>
      <c r="Q6" s="51"/>
    </row>
    <row r="7" spans="2:17" ht="72" customHeight="1">
      <c r="B7" s="406"/>
      <c r="C7" s="403"/>
      <c r="D7" s="403"/>
      <c r="E7" s="221">
        <v>1</v>
      </c>
      <c r="F7" s="217" t="s">
        <v>419</v>
      </c>
      <c r="G7" s="335"/>
      <c r="H7" s="31"/>
      <c r="I7" s="31"/>
      <c r="J7" s="31"/>
      <c r="K7" s="31"/>
      <c r="L7" s="31"/>
      <c r="M7" s="418"/>
      <c r="N7" s="414"/>
      <c r="O7" s="414"/>
      <c r="P7" s="409"/>
      <c r="Q7" s="51"/>
    </row>
    <row r="8" spans="2:17" ht="90" customHeight="1">
      <c r="B8" s="346" t="s">
        <v>394</v>
      </c>
      <c r="C8" s="67" t="s">
        <v>444</v>
      </c>
      <c r="D8" s="214" t="s">
        <v>515</v>
      </c>
      <c r="E8" s="222">
        <v>1</v>
      </c>
      <c r="F8" s="217" t="s">
        <v>413</v>
      </c>
      <c r="G8" s="335">
        <v>1</v>
      </c>
      <c r="H8" s="31">
        <v>1</v>
      </c>
      <c r="I8" s="31">
        <v>1</v>
      </c>
      <c r="J8" s="31">
        <v>1</v>
      </c>
      <c r="K8" s="31">
        <v>1</v>
      </c>
      <c r="L8" s="31">
        <v>1</v>
      </c>
      <c r="M8" s="304">
        <f>SUMPRODUCT(G8:L8,_xlfn.XLOOKUP(B8,'Global sales'!$C$28:$C$53,'Global sales'!$D$28:$I$53))/_xlfn.XLOOKUP(B8,'Global sales'!$C$28:$C$53,'Global sales'!$J$28:$J$53)</f>
        <v>1</v>
      </c>
      <c r="N8" s="217" t="s">
        <v>212</v>
      </c>
      <c r="O8" s="217" t="s">
        <v>206</v>
      </c>
      <c r="P8" s="305">
        <f t="shared" si="0"/>
        <v>50</v>
      </c>
      <c r="Q8" s="51"/>
    </row>
    <row r="9" spans="2:17" ht="83" customHeight="1">
      <c r="B9" s="399" t="s">
        <v>85</v>
      </c>
      <c r="C9" s="417" t="s">
        <v>526</v>
      </c>
      <c r="D9" s="417" t="s">
        <v>527</v>
      </c>
      <c r="E9" s="222">
        <v>0.43</v>
      </c>
      <c r="F9" s="217" t="s">
        <v>413</v>
      </c>
      <c r="G9" s="335"/>
      <c r="H9" s="31"/>
      <c r="I9" s="31"/>
      <c r="J9" s="31"/>
      <c r="K9" s="31"/>
      <c r="L9" s="31"/>
      <c r="M9" s="418">
        <f>SUMPRODUCT(G10:L10,_xlfn.XLOOKUP(B9,'Global sales'!$C$28:$C$53,'Global sales'!$D$28:$I$53))/_xlfn.XLOOKUP(B9,'Global sales'!$C$28:$C$53,'Global sales'!$J$28:$J$53)</f>
        <v>0.27567072177221191</v>
      </c>
      <c r="N9" s="217" t="s">
        <v>212</v>
      </c>
      <c r="O9" s="217" t="s">
        <v>206</v>
      </c>
      <c r="P9" s="408">
        <f t="shared" si="0"/>
        <v>13.783536088610596</v>
      </c>
      <c r="Q9" s="51"/>
    </row>
    <row r="10" spans="2:17" ht="75" customHeight="1">
      <c r="B10" s="400"/>
      <c r="C10" s="417"/>
      <c r="D10" s="417"/>
      <c r="E10" s="221">
        <v>1</v>
      </c>
      <c r="F10" s="218" t="s">
        <v>420</v>
      </c>
      <c r="G10" s="335"/>
      <c r="H10" s="31">
        <v>1</v>
      </c>
      <c r="I10" s="31"/>
      <c r="J10" s="31"/>
      <c r="K10" s="31"/>
      <c r="L10" s="31"/>
      <c r="M10" s="418"/>
      <c r="N10" s="217" t="s">
        <v>212</v>
      </c>
      <c r="O10" s="217" t="s">
        <v>206</v>
      </c>
      <c r="P10" s="409"/>
      <c r="Q10" s="51"/>
    </row>
    <row r="11" spans="2:17" ht="228" customHeight="1">
      <c r="B11" s="334" t="s">
        <v>84</v>
      </c>
      <c r="C11" s="67" t="s">
        <v>501</v>
      </c>
      <c r="D11" s="214" t="s">
        <v>528</v>
      </c>
      <c r="E11" s="221">
        <v>1</v>
      </c>
      <c r="F11" s="218" t="s">
        <v>421</v>
      </c>
      <c r="G11" s="335"/>
      <c r="H11" s="31">
        <v>1</v>
      </c>
      <c r="I11" s="31"/>
      <c r="J11" s="31"/>
      <c r="K11" s="31"/>
      <c r="L11" s="31"/>
      <c r="M11" s="304">
        <f>SUMPRODUCT(G11:L11,_xlfn.XLOOKUP(B11,'Global sales'!$C$28:$C$53,'Global sales'!$D$28:$I$53))/_xlfn.XLOOKUP(B11,'Global sales'!$C$28:$C$53,'Global sales'!$J$28:$J$53)</f>
        <v>0.21643860149168373</v>
      </c>
      <c r="N11" s="218" t="s">
        <v>212</v>
      </c>
      <c r="O11" s="218" t="s">
        <v>206</v>
      </c>
      <c r="P11" s="305">
        <f>(P32*'Global sales'!K47)+((P33*'Global sales'!K48))</f>
        <v>11.260026131081865</v>
      </c>
      <c r="Q11" s="51"/>
    </row>
    <row r="12" spans="2:17" ht="140" customHeight="1">
      <c r="B12" s="399" t="s">
        <v>241</v>
      </c>
      <c r="C12" s="401" t="s">
        <v>502</v>
      </c>
      <c r="D12" s="401" t="s">
        <v>523</v>
      </c>
      <c r="E12" s="222">
        <v>0.06</v>
      </c>
      <c r="F12" s="217" t="s">
        <v>413</v>
      </c>
      <c r="G12" s="335"/>
      <c r="H12" s="31"/>
      <c r="I12" s="31"/>
      <c r="J12" s="31"/>
      <c r="K12" s="31"/>
      <c r="L12" s="31"/>
      <c r="M12" s="418">
        <f>SUMPRODUCT(G13:L13,_xlfn.XLOOKUP(B12,'Global sales'!$C$28:$C$53,'Global sales'!$D$28:$I$53))/_xlfn.XLOOKUP(B12,'Global sales'!$C$28:$C$53,'Global sales'!$J$28:$J$53)</f>
        <v>0.1625408333448195</v>
      </c>
      <c r="N12" s="217" t="s">
        <v>212</v>
      </c>
      <c r="O12" s="217" t="s">
        <v>206</v>
      </c>
      <c r="P12" s="408">
        <f>(P34*'Global sales'!K49)+((P35*'Global sales'!K50))</f>
        <v>9.4546309751127868</v>
      </c>
      <c r="Q12" s="51"/>
    </row>
    <row r="13" spans="2:17" ht="87" customHeight="1">
      <c r="B13" s="400"/>
      <c r="C13" s="403"/>
      <c r="D13" s="403"/>
      <c r="E13" s="221">
        <v>1</v>
      </c>
      <c r="F13" s="217" t="s">
        <v>421</v>
      </c>
      <c r="G13" s="335"/>
      <c r="H13" s="31">
        <v>1</v>
      </c>
      <c r="I13" s="31"/>
      <c r="J13" s="31"/>
      <c r="K13" s="31"/>
      <c r="L13" s="31"/>
      <c r="M13" s="418"/>
      <c r="N13" s="217" t="s">
        <v>212</v>
      </c>
      <c r="O13" s="217" t="s">
        <v>206</v>
      </c>
      <c r="P13" s="409"/>
      <c r="Q13" s="51"/>
    </row>
    <row r="14" spans="2:17" ht="62" customHeight="1">
      <c r="B14" s="404" t="s">
        <v>15</v>
      </c>
      <c r="C14" s="401" t="s">
        <v>480</v>
      </c>
      <c r="D14" s="401" t="s">
        <v>529</v>
      </c>
      <c r="E14" s="221">
        <v>0.13</v>
      </c>
      <c r="F14" s="217" t="s">
        <v>413</v>
      </c>
      <c r="G14" s="335"/>
      <c r="H14" s="31"/>
      <c r="I14" s="31"/>
      <c r="J14" s="31"/>
      <c r="K14" s="31"/>
      <c r="L14" s="31"/>
      <c r="M14" s="420">
        <f>SUMPRODUCT(G15:L15,_xlfn.XLOOKUP(B14,'Global sales'!$C$28:$C$53,'Global sales'!$D$28:$I$53))/_xlfn.XLOOKUP(B14,'Global sales'!$C$28:$C$53,'Global sales'!$J$28:$J$53)</f>
        <v>0.1287495311788803</v>
      </c>
      <c r="N14" s="414" t="s">
        <v>212</v>
      </c>
      <c r="O14" s="414" t="s">
        <v>206</v>
      </c>
      <c r="P14" s="408">
        <f>((M14/2)+(IF(AND(N14="Yes",O14="Yes"),1/2,0)))*100</f>
        <v>6.4374765589440148</v>
      </c>
      <c r="Q14" s="51"/>
    </row>
    <row r="15" spans="2:17" ht="62" customHeight="1">
      <c r="B15" s="405"/>
      <c r="C15" s="402"/>
      <c r="D15" s="402"/>
      <c r="E15" s="221">
        <v>1</v>
      </c>
      <c r="F15" s="218" t="s">
        <v>421</v>
      </c>
      <c r="G15" s="335"/>
      <c r="H15" s="31">
        <v>1</v>
      </c>
      <c r="I15" s="31"/>
      <c r="J15" s="31"/>
      <c r="K15" s="31"/>
      <c r="L15" s="31"/>
      <c r="M15" s="422"/>
      <c r="N15" s="414"/>
      <c r="O15" s="414"/>
      <c r="P15" s="415"/>
      <c r="Q15" s="51"/>
    </row>
    <row r="16" spans="2:17" ht="55" customHeight="1">
      <c r="B16" s="406"/>
      <c r="C16" s="403"/>
      <c r="D16" s="403"/>
      <c r="E16" s="221">
        <v>1</v>
      </c>
      <c r="F16" s="218" t="s">
        <v>422</v>
      </c>
      <c r="G16" s="335"/>
      <c r="H16" s="31"/>
      <c r="I16" s="31"/>
      <c r="J16" s="31"/>
      <c r="K16" s="31"/>
      <c r="L16" s="31"/>
      <c r="M16" s="421"/>
      <c r="N16" s="414"/>
      <c r="O16" s="414"/>
      <c r="P16" s="409"/>
      <c r="Q16" s="51"/>
    </row>
    <row r="17" spans="2:17" ht="55" customHeight="1">
      <c r="B17" s="399" t="s">
        <v>86</v>
      </c>
      <c r="C17" s="401" t="s">
        <v>503</v>
      </c>
      <c r="D17" s="401" t="s">
        <v>500</v>
      </c>
      <c r="E17" s="222">
        <v>0.19</v>
      </c>
      <c r="F17" s="217" t="s">
        <v>413</v>
      </c>
      <c r="G17" s="335"/>
      <c r="H17" s="31"/>
      <c r="I17" s="31"/>
      <c r="J17" s="31"/>
      <c r="K17" s="31"/>
      <c r="L17" s="31"/>
      <c r="M17" s="420">
        <f>SUMPRODUCT(G18:L18,_xlfn.XLOOKUP(B17,'Global sales'!$C$28:$C$53,'Global sales'!$D$28:$I$53))/_xlfn.XLOOKUP(B17,'Global sales'!$C$28:$C$53,'Global sales'!$J$28:$J$53)</f>
        <v>0.12323199445838888</v>
      </c>
      <c r="N17" s="419" t="s">
        <v>212</v>
      </c>
      <c r="O17" s="419" t="s">
        <v>206</v>
      </c>
      <c r="P17" s="408">
        <f>(P36*'Global sales'!K51)+((P37*'Global sales'!K52))</f>
        <v>6.3230388441395489</v>
      </c>
      <c r="Q17" s="51"/>
    </row>
    <row r="18" spans="2:17" ht="55" customHeight="1">
      <c r="B18" s="400"/>
      <c r="C18" s="403"/>
      <c r="D18" s="403"/>
      <c r="E18" s="222">
        <v>1</v>
      </c>
      <c r="F18" s="217" t="s">
        <v>420</v>
      </c>
      <c r="G18" s="335"/>
      <c r="H18" s="31">
        <v>1</v>
      </c>
      <c r="I18" s="31"/>
      <c r="J18" s="31"/>
      <c r="K18" s="31"/>
      <c r="L18" s="31"/>
      <c r="M18" s="421"/>
      <c r="N18" s="419"/>
      <c r="O18" s="419"/>
      <c r="P18" s="409"/>
      <c r="Q18" s="51"/>
    </row>
    <row r="19" spans="2:17" ht="126" customHeight="1">
      <c r="B19" s="347" t="s">
        <v>252</v>
      </c>
      <c r="C19" s="67" t="s">
        <v>505</v>
      </c>
      <c r="D19" s="214" t="s">
        <v>504</v>
      </c>
      <c r="E19" s="221">
        <v>0.3</v>
      </c>
      <c r="F19" s="217" t="s">
        <v>413</v>
      </c>
      <c r="G19" s="335"/>
      <c r="H19" s="31"/>
      <c r="I19" s="31"/>
      <c r="J19" s="31"/>
      <c r="K19" s="31"/>
      <c r="L19" s="31"/>
      <c r="M19" s="304">
        <f>SUMPRODUCT(G19:L19,_xlfn.XLOOKUP(B19,'Global sales'!$C$28:$C$53,'Global sales'!$D$28:$I$53))/_xlfn.XLOOKUP(B19,'Global sales'!$C$28:$C$53,'Global sales'!$J$28:$J$53)</f>
        <v>0</v>
      </c>
      <c r="N19" s="218" t="s">
        <v>212</v>
      </c>
      <c r="O19" s="218" t="s">
        <v>206</v>
      </c>
      <c r="P19" s="305">
        <f t="shared" si="0"/>
        <v>0</v>
      </c>
    </row>
    <row r="20" spans="2:17" ht="102" customHeight="1">
      <c r="B20" s="399" t="s">
        <v>253</v>
      </c>
      <c r="C20" s="401" t="s">
        <v>506</v>
      </c>
      <c r="D20" s="401" t="s">
        <v>396</v>
      </c>
      <c r="E20" s="222">
        <v>0.27</v>
      </c>
      <c r="F20" s="217" t="s">
        <v>413</v>
      </c>
      <c r="G20" s="335"/>
      <c r="H20" s="31"/>
      <c r="I20" s="31"/>
      <c r="J20" s="31"/>
      <c r="K20" s="31"/>
      <c r="L20" s="31"/>
      <c r="M20" s="420">
        <f>SUMPRODUCT(G20:L20,_xlfn.XLOOKUP(B20,'Global sales'!$C$28:$C$53,'Global sales'!$D$28:$I$53))/_xlfn.XLOOKUP(B20,'Global sales'!$C$28:$C$53,'Global sales'!$J$28:$J$53)</f>
        <v>0</v>
      </c>
      <c r="N20" s="413" t="s">
        <v>392</v>
      </c>
      <c r="O20" s="413" t="s">
        <v>206</v>
      </c>
      <c r="P20" s="408">
        <f t="shared" si="0"/>
        <v>0</v>
      </c>
    </row>
    <row r="21" spans="2:17" ht="102" customHeight="1">
      <c r="B21" s="400"/>
      <c r="C21" s="403"/>
      <c r="D21" s="403"/>
      <c r="E21" s="222">
        <v>1</v>
      </c>
      <c r="F21" s="218" t="s">
        <v>423</v>
      </c>
      <c r="G21" s="335"/>
      <c r="H21" s="31"/>
      <c r="I21" s="31"/>
      <c r="J21" s="31"/>
      <c r="K21" s="31"/>
      <c r="L21" s="31"/>
      <c r="M21" s="421"/>
      <c r="N21" s="413"/>
      <c r="O21" s="413"/>
      <c r="P21" s="409"/>
    </row>
    <row r="22" spans="2:17" ht="156" customHeight="1">
      <c r="B22" s="346" t="s">
        <v>248</v>
      </c>
      <c r="C22" s="67" t="s">
        <v>507</v>
      </c>
      <c r="D22" s="214" t="s">
        <v>395</v>
      </c>
      <c r="E22" s="222">
        <v>0.12</v>
      </c>
      <c r="F22" s="217" t="s">
        <v>413</v>
      </c>
      <c r="G22" s="335"/>
      <c r="H22" s="31"/>
      <c r="I22" s="31"/>
      <c r="J22" s="31"/>
      <c r="K22" s="31"/>
      <c r="L22" s="31"/>
      <c r="M22" s="304">
        <f>SUMPRODUCT(G22:L22,_xlfn.XLOOKUP(B22,'Global sales'!$C$28:$C$53,'Global sales'!$D$28:$I$53))/_xlfn.XLOOKUP(B22,'Global sales'!$C$28:$C$53,'Global sales'!$J$28:$J$53)</f>
        <v>0</v>
      </c>
      <c r="N22" s="217" t="s">
        <v>212</v>
      </c>
      <c r="O22" s="217" t="s">
        <v>206</v>
      </c>
      <c r="P22" s="305">
        <f t="shared" si="0"/>
        <v>0</v>
      </c>
    </row>
    <row r="23" spans="2:17" ht="168" customHeight="1">
      <c r="B23" s="346" t="s">
        <v>370</v>
      </c>
      <c r="C23" s="67" t="s">
        <v>508</v>
      </c>
      <c r="D23" s="214" t="s">
        <v>395</v>
      </c>
      <c r="E23" s="217" t="s">
        <v>408</v>
      </c>
      <c r="F23" s="217" t="s">
        <v>409</v>
      </c>
      <c r="G23" s="335"/>
      <c r="H23" s="31"/>
      <c r="I23" s="31"/>
      <c r="J23" s="31"/>
      <c r="K23" s="31"/>
      <c r="L23" s="31"/>
      <c r="M23" s="304">
        <f>SUMPRODUCT(G23:L23,_xlfn.XLOOKUP(B23,'Global sales'!$C$28:$C$53,'Global sales'!$D$28:$I$53))/_xlfn.XLOOKUP(B23,'Global sales'!$C$28:$C$53,'Global sales'!$J$28:$J$53)</f>
        <v>0</v>
      </c>
      <c r="N23" s="217" t="s">
        <v>212</v>
      </c>
      <c r="O23" s="217" t="s">
        <v>206</v>
      </c>
      <c r="P23" s="305">
        <f t="shared" si="0"/>
        <v>0</v>
      </c>
    </row>
    <row r="24" spans="2:17" ht="82" customHeight="1">
      <c r="B24" s="346" t="s">
        <v>243</v>
      </c>
      <c r="C24" s="67" t="s">
        <v>509</v>
      </c>
      <c r="D24" s="214" t="s">
        <v>395</v>
      </c>
      <c r="E24" s="222">
        <v>7.0000000000000007E-2</v>
      </c>
      <c r="F24" s="217" t="s">
        <v>413</v>
      </c>
      <c r="G24" s="335"/>
      <c r="H24" s="31"/>
      <c r="I24" s="31"/>
      <c r="J24" s="31"/>
      <c r="K24" s="31"/>
      <c r="L24" s="31"/>
      <c r="M24" s="304">
        <f>SUMPRODUCT(G24:L24,_xlfn.XLOOKUP(B24,'Global sales'!$C$28:$C$53,'Global sales'!$D$28:$I$53))/_xlfn.XLOOKUP(B24,'Global sales'!$C$28:$C$53,'Global sales'!$J$28:$J$53)</f>
        <v>0</v>
      </c>
      <c r="N24" s="217" t="s">
        <v>212</v>
      </c>
      <c r="O24" s="217" t="s">
        <v>206</v>
      </c>
      <c r="P24" s="305">
        <f t="shared" si="0"/>
        <v>0</v>
      </c>
    </row>
    <row r="25" spans="2:17" ht="97" customHeight="1">
      <c r="B25" s="346" t="s">
        <v>222</v>
      </c>
      <c r="C25" s="67" t="s">
        <v>510</v>
      </c>
      <c r="D25" s="214" t="s">
        <v>395</v>
      </c>
      <c r="E25" s="217" t="s">
        <v>410</v>
      </c>
      <c r="F25" s="217" t="s">
        <v>411</v>
      </c>
      <c r="G25" s="335"/>
      <c r="H25" s="31"/>
      <c r="I25" s="31"/>
      <c r="J25" s="31"/>
      <c r="K25" s="31"/>
      <c r="L25" s="31"/>
      <c r="M25" s="304">
        <f>SUMPRODUCT(G25:L25,_xlfn.XLOOKUP(B25,'Global sales'!$C$28:$C$53,'Global sales'!$D$28:$I$53))/_xlfn.XLOOKUP(B25,'Global sales'!$C$28:$C$53,'Global sales'!$J$28:$J$53)</f>
        <v>0</v>
      </c>
      <c r="N25" s="217" t="s">
        <v>212</v>
      </c>
      <c r="O25" s="217" t="s">
        <v>206</v>
      </c>
      <c r="P25" s="305">
        <f t="shared" si="0"/>
        <v>0</v>
      </c>
    </row>
    <row r="26" spans="2:17" ht="94" customHeight="1">
      <c r="B26" s="346" t="s">
        <v>236</v>
      </c>
      <c r="C26" s="67" t="s">
        <v>402</v>
      </c>
      <c r="D26" s="214" t="s">
        <v>397</v>
      </c>
      <c r="E26" s="217" t="s">
        <v>407</v>
      </c>
      <c r="F26" s="217" t="s">
        <v>411</v>
      </c>
      <c r="G26" s="335"/>
      <c r="H26" s="31"/>
      <c r="I26" s="31"/>
      <c r="J26" s="31"/>
      <c r="K26" s="31"/>
      <c r="L26" s="31"/>
      <c r="M26" s="304">
        <f>SUMPRODUCT(G26:L26,_xlfn.XLOOKUP(B26,'Global sales'!$C$28:$C$53,'Global sales'!$D$28:$I$53))/_xlfn.XLOOKUP(B26,'Global sales'!$C$28:$C$53,'Global sales'!$J$28:$J$53)</f>
        <v>0</v>
      </c>
      <c r="N26" s="217" t="s">
        <v>212</v>
      </c>
      <c r="O26" s="217" t="s">
        <v>206</v>
      </c>
      <c r="P26" s="305">
        <f>((M26/2)+(IF(AND(N26="Yes",O26="Yes"),1/2,0)))*100</f>
        <v>0</v>
      </c>
    </row>
    <row r="27" spans="2:17" ht="123" customHeight="1">
      <c r="B27" s="346" t="s">
        <v>266</v>
      </c>
      <c r="C27" s="67" t="s">
        <v>403</v>
      </c>
      <c r="D27" s="214" t="s">
        <v>398</v>
      </c>
      <c r="E27" s="222">
        <v>1</v>
      </c>
      <c r="F27" s="217" t="s">
        <v>412</v>
      </c>
      <c r="G27" s="335"/>
      <c r="H27" s="31"/>
      <c r="I27" s="31"/>
      <c r="J27" s="31"/>
      <c r="K27" s="31"/>
      <c r="L27" s="31"/>
      <c r="M27" s="304">
        <f>SUMPRODUCT(G27:L27,_xlfn.XLOOKUP(B27,'Global sales'!$C$28:$C$53,'Global sales'!$D$28:$I$53))/_xlfn.XLOOKUP(B27,'Global sales'!$C$28:$C$53,'Global sales'!$J$28:$J$53)</f>
        <v>0</v>
      </c>
      <c r="N27" s="217" t="s">
        <v>212</v>
      </c>
      <c r="O27" s="217" t="s">
        <v>206</v>
      </c>
      <c r="P27" s="305">
        <f t="shared" si="0"/>
        <v>0</v>
      </c>
    </row>
    <row r="28" spans="2:17" ht="52" customHeight="1">
      <c r="B28" s="346" t="s">
        <v>42</v>
      </c>
      <c r="C28" s="67" t="s">
        <v>446</v>
      </c>
      <c r="D28" s="214" t="s">
        <v>395</v>
      </c>
      <c r="E28" s="222">
        <v>0.3</v>
      </c>
      <c r="F28" s="217" t="s">
        <v>413</v>
      </c>
      <c r="G28" s="335"/>
      <c r="H28" s="31"/>
      <c r="I28" s="31"/>
      <c r="J28" s="31"/>
      <c r="K28" s="31"/>
      <c r="L28" s="31"/>
      <c r="M28" s="304">
        <f>SUMPRODUCT(G28:L28,_xlfn.XLOOKUP(B28,'Global sales'!$C$28:$C$53,'Global sales'!$D$28:$I$53))/_xlfn.XLOOKUP(B28,'Global sales'!$C$28:$C$53,'Global sales'!$J$28:$J$53)</f>
        <v>0</v>
      </c>
      <c r="N28" s="217" t="s">
        <v>212</v>
      </c>
      <c r="O28" s="217" t="s">
        <v>206</v>
      </c>
      <c r="P28" s="305">
        <f t="shared" si="0"/>
        <v>0</v>
      </c>
    </row>
    <row r="29" spans="2:17" ht="52" customHeight="1">
      <c r="B29" s="346" t="s">
        <v>230</v>
      </c>
      <c r="C29" s="67" t="s">
        <v>404</v>
      </c>
      <c r="D29" s="214" t="s">
        <v>395</v>
      </c>
      <c r="E29" s="217" t="s">
        <v>417</v>
      </c>
      <c r="F29" s="217" t="s">
        <v>411</v>
      </c>
      <c r="G29" s="335"/>
      <c r="H29" s="31"/>
      <c r="I29" s="31"/>
      <c r="J29" s="31"/>
      <c r="K29" s="31"/>
      <c r="L29" s="31"/>
      <c r="M29" s="304">
        <f>SUMPRODUCT(G29:L29,_xlfn.XLOOKUP(B29,'Global sales'!$C$28:$C$53,'Global sales'!$D$28:$I$53))/_xlfn.XLOOKUP(B29,'Global sales'!$C$28:$C$53,'Global sales'!$J$28:$J$53)</f>
        <v>0</v>
      </c>
      <c r="N29" s="217" t="s">
        <v>212</v>
      </c>
      <c r="O29" s="217" t="s">
        <v>206</v>
      </c>
      <c r="P29" s="305">
        <f t="shared" si="0"/>
        <v>0</v>
      </c>
    </row>
    <row r="30" spans="2:17" ht="60" customHeight="1">
      <c r="B30" s="346" t="s">
        <v>87</v>
      </c>
      <c r="C30" s="67" t="s">
        <v>445</v>
      </c>
      <c r="D30" s="214" t="s">
        <v>395</v>
      </c>
      <c r="E30" s="217" t="s">
        <v>416</v>
      </c>
      <c r="F30" s="217" t="s">
        <v>411</v>
      </c>
      <c r="G30" s="335"/>
      <c r="H30" s="31"/>
      <c r="I30" s="31"/>
      <c r="J30" s="31"/>
      <c r="K30" s="31"/>
      <c r="L30" s="31"/>
      <c r="M30" s="304">
        <f>SUMPRODUCT(G30:L30,_xlfn.XLOOKUP(B30,'Global sales'!$C$28:$C$53,'Global sales'!$D$28:$I$53))/_xlfn.XLOOKUP(B30,'Global sales'!$C$28:$C$53,'Global sales'!$J$28:$J$53)</f>
        <v>0</v>
      </c>
      <c r="N30" s="217" t="s">
        <v>212</v>
      </c>
      <c r="O30" s="217" t="s">
        <v>206</v>
      </c>
      <c r="P30" s="305">
        <f t="shared" si="0"/>
        <v>0</v>
      </c>
    </row>
    <row r="31" spans="2:17" ht="92" customHeight="1">
      <c r="B31" s="346" t="s">
        <v>88</v>
      </c>
      <c r="C31" s="67" t="s">
        <v>511</v>
      </c>
      <c r="D31" s="214" t="s">
        <v>395</v>
      </c>
      <c r="E31" s="217" t="s">
        <v>414</v>
      </c>
      <c r="F31" s="217" t="s">
        <v>415</v>
      </c>
      <c r="G31" s="335"/>
      <c r="H31" s="31"/>
      <c r="I31" s="31"/>
      <c r="J31" s="31"/>
      <c r="K31" s="31"/>
      <c r="L31" s="31"/>
      <c r="M31" s="304">
        <f>SUMPRODUCT(G31:L31,_xlfn.XLOOKUP(B31,'Global sales'!$C$28:$C$53,'Global sales'!$D$28:$I$53))/_xlfn.XLOOKUP(B31,'Global sales'!$C$28:$C$53,'Global sales'!$J$28:$J$53)</f>
        <v>0</v>
      </c>
      <c r="N31" s="217" t="s">
        <v>212</v>
      </c>
      <c r="O31" s="217" t="s">
        <v>206</v>
      </c>
      <c r="P31" s="333">
        <f t="shared" si="0"/>
        <v>0</v>
      </c>
    </row>
    <row r="32" spans="2:17" ht="187">
      <c r="B32" s="19" t="s">
        <v>207</v>
      </c>
      <c r="C32" s="334" t="s">
        <v>512</v>
      </c>
      <c r="D32" s="214" t="s">
        <v>494</v>
      </c>
      <c r="E32" s="221">
        <v>1</v>
      </c>
      <c r="F32" s="218" t="s">
        <v>421</v>
      </c>
      <c r="G32" s="335"/>
      <c r="H32" s="31">
        <v>1</v>
      </c>
      <c r="I32" s="31"/>
      <c r="J32" s="31"/>
      <c r="K32" s="31"/>
      <c r="L32" s="31"/>
      <c r="M32" s="304">
        <f>SUMPRODUCT(G32:L32,_xlfn.XLOOKUP(B32,'Global sales'!$C$28:$C$53,'Global sales'!$D$28:$I$53))/_xlfn.XLOOKUP(B32,'Global sales'!$C$28:$C$53,'Global sales'!$J$28:$J$53)</f>
        <v>0.20009313871658571</v>
      </c>
      <c r="N32" s="217" t="s">
        <v>212</v>
      </c>
      <c r="O32" s="217" t="s">
        <v>206</v>
      </c>
      <c r="P32" s="333">
        <f t="shared" si="0"/>
        <v>10.004656935829285</v>
      </c>
    </row>
    <row r="33" spans="2:16" ht="35" customHeight="1">
      <c r="B33" s="19" t="s">
        <v>203</v>
      </c>
      <c r="C33" s="334" t="s">
        <v>513</v>
      </c>
      <c r="D33" s="334" t="s">
        <v>495</v>
      </c>
      <c r="E33" s="221">
        <v>1</v>
      </c>
      <c r="F33" s="218" t="s">
        <v>421</v>
      </c>
      <c r="G33" s="335"/>
      <c r="H33" s="31">
        <v>1</v>
      </c>
      <c r="I33" s="31"/>
      <c r="J33" s="31"/>
      <c r="K33" s="31"/>
      <c r="L33" s="31"/>
      <c r="M33" s="304">
        <f>SUMPRODUCT(G33:L33,_xlfn.XLOOKUP(B33,'Global sales'!$C$28:$C$53,'Global sales'!$D$28:$I$53))/_xlfn.XLOOKUP(B33,'Global sales'!$C$28:$C$53,'Global sales'!$J$28:$J$53)</f>
        <v>0.25588732517225588</v>
      </c>
      <c r="N33" s="217" t="s">
        <v>212</v>
      </c>
      <c r="O33" s="217" t="s">
        <v>206</v>
      </c>
      <c r="P33" s="333">
        <f t="shared" si="0"/>
        <v>12.794366258612794</v>
      </c>
    </row>
    <row r="34" spans="2:16" ht="85">
      <c r="B34" s="19" t="s">
        <v>205</v>
      </c>
      <c r="C34" s="334" t="s">
        <v>496</v>
      </c>
      <c r="D34" s="334" t="s">
        <v>497</v>
      </c>
      <c r="E34" s="222">
        <v>0.06</v>
      </c>
      <c r="F34" s="217" t="s">
        <v>413</v>
      </c>
      <c r="G34" s="335"/>
      <c r="H34" s="31"/>
      <c r="I34" s="31"/>
      <c r="J34" s="31"/>
      <c r="K34" s="31"/>
      <c r="L34" s="31"/>
      <c r="M34" s="304">
        <f>SUMPRODUCT(G34:L34,_xlfn.XLOOKUP(B34,'Global sales'!$C$28:$C$53,'Global sales'!$D$28:$I$53))/_xlfn.XLOOKUP(B34,'Global sales'!$C$28:$C$53,'Global sales'!$J$28:$J$53)</f>
        <v>0</v>
      </c>
      <c r="N34" s="217" t="s">
        <v>212</v>
      </c>
      <c r="O34" s="217" t="s">
        <v>206</v>
      </c>
      <c r="P34" s="333">
        <f t="shared" si="0"/>
        <v>0</v>
      </c>
    </row>
    <row r="35" spans="2:16" ht="119">
      <c r="B35" s="19" t="s">
        <v>208</v>
      </c>
      <c r="C35" s="67" t="s">
        <v>498</v>
      </c>
      <c r="D35" s="334" t="s">
        <v>530</v>
      </c>
      <c r="E35" s="221">
        <v>1</v>
      </c>
      <c r="F35" s="218" t="s">
        <v>421</v>
      </c>
      <c r="G35" s="335"/>
      <c r="H35" s="31">
        <v>1</v>
      </c>
      <c r="I35" s="31"/>
      <c r="J35" s="31"/>
      <c r="K35" s="31"/>
      <c r="L35" s="31"/>
      <c r="M35" s="304">
        <f>SUMPRODUCT(G35:L35,_xlfn.XLOOKUP(B35,'Global sales'!$C$28:$C$53,'Global sales'!$D$28:$I$53))/_xlfn.XLOOKUP(B35,'Global sales'!$C$28:$C$53,'Global sales'!$J$28:$J$53)</f>
        <v>0.4976121565848835</v>
      </c>
      <c r="N35" s="217" t="s">
        <v>212</v>
      </c>
      <c r="O35" s="217" t="s">
        <v>206</v>
      </c>
      <c r="P35" s="333">
        <f t="shared" si="0"/>
        <v>24.880607829244177</v>
      </c>
    </row>
    <row r="36" spans="2:16" ht="102">
      <c r="B36" s="19" t="s">
        <v>74</v>
      </c>
      <c r="C36" s="67" t="s">
        <v>499</v>
      </c>
      <c r="D36" s="334" t="s">
        <v>500</v>
      </c>
      <c r="E36" s="222">
        <v>0.19</v>
      </c>
      <c r="F36" s="217" t="s">
        <v>413</v>
      </c>
      <c r="G36" s="335"/>
      <c r="H36" s="31"/>
      <c r="I36" s="31"/>
      <c r="J36" s="31"/>
      <c r="K36" s="31"/>
      <c r="L36" s="31"/>
      <c r="M36" s="304">
        <f>SUMPRODUCT(G36:L36,_xlfn.XLOOKUP(B36,'Global sales'!$C$28:$C$53,'Global sales'!$D$28:$I$53))/_xlfn.XLOOKUP(B36,'Global sales'!$C$28:$C$53,'Global sales'!$J$28:$J$53)</f>
        <v>0</v>
      </c>
      <c r="N36" s="217" t="s">
        <v>212</v>
      </c>
      <c r="O36" s="217" t="s">
        <v>206</v>
      </c>
      <c r="P36" s="333">
        <f t="shared" si="0"/>
        <v>0</v>
      </c>
    </row>
    <row r="37" spans="2:16" ht="40" customHeight="1">
      <c r="B37" s="19" t="s">
        <v>209</v>
      </c>
      <c r="C37" s="67" t="s">
        <v>514</v>
      </c>
      <c r="D37" s="214" t="s">
        <v>395</v>
      </c>
      <c r="E37" s="222">
        <v>1</v>
      </c>
      <c r="F37" s="217" t="s">
        <v>420</v>
      </c>
      <c r="G37" s="335"/>
      <c r="H37" s="31">
        <v>1</v>
      </c>
      <c r="I37" s="31"/>
      <c r="J37" s="31"/>
      <c r="K37" s="31"/>
      <c r="L37" s="31"/>
      <c r="M37" s="304">
        <f>SUMPRODUCT(G37:L37,_xlfn.XLOOKUP(B37,'Global sales'!$C$28:$C$53,'Global sales'!$D$28:$I$53))/_xlfn.XLOOKUP(B37,'Global sales'!$C$28:$C$53,'Global sales'!$J$28:$J$53)</f>
        <v>0.5058431075311639</v>
      </c>
      <c r="N37" s="217" t="s">
        <v>212</v>
      </c>
      <c r="O37" s="217" t="s">
        <v>206</v>
      </c>
      <c r="P37" s="333">
        <f t="shared" si="0"/>
        <v>25.292155376558195</v>
      </c>
    </row>
  </sheetData>
  <sheetProtection algorithmName="SHA-512" hashValue="txMUZr+bSzyaclN2dImEajmLuA3p07YjCGtUa75qTkD1aC+25VjR+w+zUEdyeb6LQuJrfiH1jYGrP9G8VSxRrQ==" saltValue="FRhT1AIJC9hO640OhWhAEg==" spinCount="100000" sheet="1" objects="1" scenarios="1" selectLockedCells="1" selectUnlockedCells="1"/>
  <mergeCells count="45">
    <mergeCell ref="B14:B16"/>
    <mergeCell ref="N14:N16"/>
    <mergeCell ref="O14:O16"/>
    <mergeCell ref="P14:P16"/>
    <mergeCell ref="B12:B13"/>
    <mergeCell ref="P12:P13"/>
    <mergeCell ref="C12:C13"/>
    <mergeCell ref="D12:D13"/>
    <mergeCell ref="C14:C16"/>
    <mergeCell ref="D14:D16"/>
    <mergeCell ref="M12:M13"/>
    <mergeCell ref="M14:M16"/>
    <mergeCell ref="B20:B21"/>
    <mergeCell ref="B17:B18"/>
    <mergeCell ref="N17:N18"/>
    <mergeCell ref="O17:O18"/>
    <mergeCell ref="P17:P18"/>
    <mergeCell ref="C17:C18"/>
    <mergeCell ref="D17:D18"/>
    <mergeCell ref="C20:C21"/>
    <mergeCell ref="D20:D21"/>
    <mergeCell ref="M17:M18"/>
    <mergeCell ref="M20:M21"/>
    <mergeCell ref="P9:P10"/>
    <mergeCell ref="C2:C3"/>
    <mergeCell ref="D2:D3"/>
    <mergeCell ref="N20:N21"/>
    <mergeCell ref="O20:O21"/>
    <mergeCell ref="P20:P21"/>
    <mergeCell ref="N5:N7"/>
    <mergeCell ref="O5:O7"/>
    <mergeCell ref="P5:P7"/>
    <mergeCell ref="N2:O2"/>
    <mergeCell ref="P2:P3"/>
    <mergeCell ref="C9:C10"/>
    <mergeCell ref="D9:D10"/>
    <mergeCell ref="E2:L2"/>
    <mergeCell ref="M5:M7"/>
    <mergeCell ref="M9:M10"/>
    <mergeCell ref="M2:M3"/>
    <mergeCell ref="B9:B10"/>
    <mergeCell ref="C5:C7"/>
    <mergeCell ref="D5:D7"/>
    <mergeCell ref="B5:B7"/>
    <mergeCell ref="B2:B3"/>
  </mergeCells>
  <phoneticPr fontId="3" type="noConversion"/>
  <conditionalFormatting sqref="P4:P30">
    <cfRule type="colorScale" priority="1">
      <colorScale>
        <cfvo type="min"/>
        <cfvo type="percentile" val="50"/>
        <cfvo type="max"/>
        <color theme="0"/>
        <color theme="5" tint="0.59999389629810485"/>
        <color theme="5"/>
      </colorScale>
    </cfRule>
  </conditionalFormatting>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e31f57a-30ba-4a37-a044-8a86c97b54eb">
      <Terms xmlns="http://schemas.microsoft.com/office/infopath/2007/PartnerControls"/>
    </lcf76f155ced4ddcb4097134ff3c332f>
    <TaxCatchAll xmlns="6c4ea20b-9ca4-4186-956d-2b4103157f1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F4C8ED5D9DD33418B12AEB09345B8E3" ma:contentTypeVersion="15" ma:contentTypeDescription="Create a new document." ma:contentTypeScope="" ma:versionID="bc6f384a331986d26ce43943be7b4aa1">
  <xsd:schema xmlns:xsd="http://www.w3.org/2001/XMLSchema" xmlns:xs="http://www.w3.org/2001/XMLSchema" xmlns:p="http://schemas.microsoft.com/office/2006/metadata/properties" xmlns:ns2="2e31f57a-30ba-4a37-a044-8a86c97b54eb" xmlns:ns3="6c4ea20b-9ca4-4186-956d-2b4103157f1e" targetNamespace="http://schemas.microsoft.com/office/2006/metadata/properties" ma:root="true" ma:fieldsID="dcc9f37db81862d1485aa4d226c3adba" ns2:_="" ns3:_="">
    <xsd:import namespace="2e31f57a-30ba-4a37-a044-8a86c97b54eb"/>
    <xsd:import namespace="6c4ea20b-9ca4-4186-956d-2b4103157f1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31f57a-30ba-4a37-a044-8a86c97b54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3d0c42d-6e87-4daf-ac4d-d5283275e258"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4ea20b-9ca4-4186-956d-2b4103157f1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10bd8b0e-a019-4fd8-aae2-455aafe8e135}" ma:internalName="TaxCatchAll" ma:showField="CatchAllData" ma:web="6c4ea20b-9ca4-4186-956d-2b4103157f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02A37D-402B-4A5A-A8A5-2564C35A7373}">
  <ds:schemaRefs>
    <ds:schemaRef ds:uri="2e31f57a-30ba-4a37-a044-8a86c97b54eb"/>
    <ds:schemaRef ds:uri="6c4ea20b-9ca4-4186-956d-2b4103157f1e"/>
    <ds:schemaRef ds:uri="http://schemas.microsoft.com/office/2006/metadata/properties"/>
    <ds:schemaRef ds:uri="http://purl.org/dc/elements/1.1/"/>
    <ds:schemaRef ds:uri="http://www.w3.org/XML/1998/namespac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852D489B-7949-4D02-8770-278EC4E2AAB9}">
  <ds:schemaRefs>
    <ds:schemaRef ds:uri="http://schemas.microsoft.com/sharepoint/v3/contenttype/forms"/>
  </ds:schemaRefs>
</ds:datastoreItem>
</file>

<file path=customXml/itemProps3.xml><?xml version="1.0" encoding="utf-8"?>
<ds:datastoreItem xmlns:ds="http://schemas.openxmlformats.org/officeDocument/2006/customXml" ds:itemID="{19E7F3AB-0398-4A79-9046-EA625839AA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31f57a-30ba-4a37-a044-8a86c97b54eb"/>
    <ds:schemaRef ds:uri="6c4ea20b-9ca4-4186-956d-2b4103157f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Note</vt:lpstr>
      <vt:lpstr>Summary</vt:lpstr>
      <vt:lpstr>Global sales</vt:lpstr>
      <vt:lpstr>ZEV market share</vt:lpstr>
      <vt:lpstr>Class coverage</vt:lpstr>
      <vt:lpstr>Energy consumption</vt:lpstr>
      <vt:lpstr>Charging speed</vt:lpstr>
      <vt:lpstr>Driving range</vt:lpstr>
      <vt:lpstr>Renewable energy</vt:lpstr>
      <vt:lpstr>Battery recycling</vt:lpstr>
      <vt:lpstr>ZEV target</vt:lpstr>
      <vt:lpstr>ZEV investment</vt:lpstr>
      <vt:lpstr>Executive compensation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Microsoft Office User</cp:lastModifiedBy>
  <cp:revision/>
  <dcterms:created xsi:type="dcterms:W3CDTF">2022-11-09T03:00:18Z</dcterms:created>
  <dcterms:modified xsi:type="dcterms:W3CDTF">2023-05-30T15:29:00Z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db26152-23a6-4a6e-8fcb-d99d6e3b8e71_Enabled">
    <vt:lpwstr>true</vt:lpwstr>
  </property>
  <property fmtid="{D5CDD505-2E9C-101B-9397-08002B2CF9AE}" pid="3" name="MSIP_Label_edb26152-23a6-4a6e-8fcb-d99d6e3b8e71_SetDate">
    <vt:lpwstr>2022-11-09T03:50:09Z</vt:lpwstr>
  </property>
  <property fmtid="{D5CDD505-2E9C-101B-9397-08002B2CF9AE}" pid="4" name="MSIP_Label_edb26152-23a6-4a6e-8fcb-d99d6e3b8e71_Method">
    <vt:lpwstr>Standard</vt:lpwstr>
  </property>
  <property fmtid="{D5CDD505-2E9C-101B-9397-08002B2CF9AE}" pid="5" name="MSIP_Label_edb26152-23a6-4a6e-8fcb-d99d6e3b8e71_Name">
    <vt:lpwstr>defa4170-0d19-0005-0004-bc88714345d2</vt:lpwstr>
  </property>
  <property fmtid="{D5CDD505-2E9C-101B-9397-08002B2CF9AE}" pid="6" name="MSIP_Label_edb26152-23a6-4a6e-8fcb-d99d6e3b8e71_SiteId">
    <vt:lpwstr>7fbdd19f-c389-4ced-8a04-0b5090b80cfe</vt:lpwstr>
  </property>
  <property fmtid="{D5CDD505-2E9C-101B-9397-08002B2CF9AE}" pid="7" name="MSIP_Label_edb26152-23a6-4a6e-8fcb-d99d6e3b8e71_ActionId">
    <vt:lpwstr>1301632b-39b0-4207-8e27-5f572f403f03</vt:lpwstr>
  </property>
  <property fmtid="{D5CDD505-2E9C-101B-9397-08002B2CF9AE}" pid="8" name="MSIP_Label_edb26152-23a6-4a6e-8fcb-d99d6e3b8e71_ContentBits">
    <vt:lpwstr>0</vt:lpwstr>
  </property>
  <property fmtid="{D5CDD505-2E9C-101B-9397-08002B2CF9AE}" pid="9" name="ContentTypeId">
    <vt:lpwstr>0x0101001F4C8ED5D9DD33418B12AEB09345B8E3</vt:lpwstr>
  </property>
  <property fmtid="{D5CDD505-2E9C-101B-9397-08002B2CF9AE}" pid="10" name="MediaServiceImageTags">
    <vt:lpwstr/>
  </property>
</Properties>
</file>